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defaultThemeVersion="124226"/>
  <xr:revisionPtr revIDLastSave="0" documentId="8_{DFB97CEF-DC40-4DBD-933D-184DD69E0C2A}" xr6:coauthVersionLast="31" xr6:coauthVersionMax="31" xr10:uidLastSave="{00000000-0000-0000-0000-000000000000}"/>
  <bookViews>
    <workbookView xWindow="-120" yWindow="-120" windowWidth="20730" windowHeight="11160" tabRatio="778" xr2:uid="{00000000-000D-0000-FFFF-FFFF00000000}"/>
  </bookViews>
  <sheets>
    <sheet name="総括表 (R2)" sheetId="16" r:id="rId1"/>
    <sheet name="総括表詳細（利用者数R2)" sheetId="17" r:id="rId2"/>
    <sheet name="総括表詳細（給付費R2)" sheetId="18" r:id="rId3"/>
    <sheet name="総括表 (H31) " sheetId="15" r:id="rId4"/>
    <sheet name="総括表詳細（利用者数H31）" sheetId="9" r:id="rId5"/>
    <sheet name="総括表詳細（給付費H31）" sheetId="11" r:id="rId6"/>
    <sheet name="総括表 (H30)" sheetId="5" r:id="rId7"/>
    <sheet name="総括表詳細（利用者数H30）" sheetId="6" r:id="rId8"/>
    <sheet name="総括表詳細（給付費H30）" sheetId="7" r:id="rId9"/>
    <sheet name="総括表詳細（給付費H29）" sheetId="8" r:id="rId10"/>
    <sheet name="総括表詳細（利用者数）" sheetId="2" r:id="rId11"/>
    <sheet name="総括表詳細（給付費）" sheetId="4" r:id="rId12"/>
  </sheets>
  <definedNames>
    <definedName name="_xlnm.Print_Area" localSheetId="6">'総括表 (H30)'!$A$1:$S$46</definedName>
    <definedName name="_xlnm.Print_Area" localSheetId="3">'総括表 (H31) '!$A$1:$S$46</definedName>
    <definedName name="_xlnm.Print_Area" localSheetId="0">'総括表 (R2)'!$A$1:$S$46</definedName>
    <definedName name="_xlnm.Print_Area" localSheetId="11">'総括表詳細（給付費）'!$A$1:$W$70</definedName>
    <definedName name="_xlnm.Print_Area" localSheetId="9">'総括表詳細（給付費H29）'!$A$1:$U$68</definedName>
    <definedName name="_xlnm.Print_Area" localSheetId="8">'総括表詳細（給付費H30）'!$A$1:$U$66</definedName>
    <definedName name="_xlnm.Print_Area" localSheetId="5">'総括表詳細（給付費H31）'!$A$1:$U$67</definedName>
    <definedName name="_xlnm.Print_Area" localSheetId="2">'総括表詳細（給付費R2)'!$A$1:$U$69</definedName>
    <definedName name="_xlnm.Print_Area" localSheetId="10">'総括表詳細（利用者数）'!$A$1:$W$69</definedName>
    <definedName name="_xlnm.Print_Area" localSheetId="7">'総括表詳細（利用者数H30）'!$A$1:$U$66</definedName>
    <definedName name="_xlnm.Print_Area" localSheetId="4">'総括表詳細（利用者数H31）'!$A$1:$U$67</definedName>
    <definedName name="_xlnm.Print_Area" localSheetId="1">'総括表詳細（利用者数R2)'!$A$1:$U$69</definedName>
  </definedNames>
  <calcPr calcId="162913"/>
</workbook>
</file>

<file path=xl/calcChain.xml><?xml version="1.0" encoding="utf-8"?>
<calcChain xmlns="http://schemas.openxmlformats.org/spreadsheetml/2006/main">
  <c r="O20" i="16" l="1"/>
  <c r="P20" i="16"/>
  <c r="Q20" i="16"/>
  <c r="H14" i="18" l="1"/>
  <c r="H46" i="18"/>
  <c r="H46" i="17"/>
  <c r="H62" i="17"/>
  <c r="H66" i="17"/>
  <c r="H59" i="17"/>
  <c r="H50" i="17"/>
  <c r="H52" i="17"/>
  <c r="T33" i="18"/>
  <c r="T32" i="18"/>
  <c r="T31" i="18"/>
  <c r="T30" i="18"/>
  <c r="T29" i="18"/>
  <c r="T28" i="18"/>
  <c r="T27" i="18"/>
  <c r="T26" i="18"/>
  <c r="T25" i="18"/>
  <c r="T24" i="18"/>
  <c r="T23" i="18"/>
  <c r="T22" i="18"/>
  <c r="T21" i="18"/>
  <c r="T20" i="18"/>
  <c r="T19" i="18"/>
  <c r="T18" i="18"/>
  <c r="T17" i="18"/>
  <c r="T16" i="18"/>
  <c r="T15" i="18"/>
  <c r="U14" i="18"/>
  <c r="S14" i="18"/>
  <c r="Q27" i="16" s="1"/>
  <c r="R14" i="18"/>
  <c r="Q14" i="18"/>
  <c r="O27" i="16" s="1"/>
  <c r="P14" i="18"/>
  <c r="O14" i="18"/>
  <c r="N14" i="18"/>
  <c r="M14" i="18"/>
  <c r="L14" i="18"/>
  <c r="K14" i="18"/>
  <c r="J14" i="18"/>
  <c r="I14" i="18"/>
  <c r="T13" i="18"/>
  <c r="T12" i="18"/>
  <c r="T11" i="18"/>
  <c r="T10" i="18" s="1"/>
  <c r="H43" i="18" s="1"/>
  <c r="U10" i="18"/>
  <c r="S10" i="18"/>
  <c r="Q26" i="16" s="1"/>
  <c r="R10" i="18"/>
  <c r="P26" i="16" s="1"/>
  <c r="Q10" i="18"/>
  <c r="P10" i="18"/>
  <c r="N26" i="16" s="1"/>
  <c r="O10" i="18"/>
  <c r="N10" i="18"/>
  <c r="M10" i="18"/>
  <c r="L10" i="18"/>
  <c r="K10" i="18"/>
  <c r="J10" i="18"/>
  <c r="I10" i="18"/>
  <c r="H10" i="18"/>
  <c r="T9" i="18"/>
  <c r="H42" i="18" s="1"/>
  <c r="T8" i="18"/>
  <c r="T7" i="18"/>
  <c r="T6" i="18"/>
  <c r="T5" i="18"/>
  <c r="U4" i="18"/>
  <c r="S4" i="18"/>
  <c r="R4" i="18"/>
  <c r="Q4" i="18"/>
  <c r="O25" i="16" s="1"/>
  <c r="P4" i="18"/>
  <c r="N25" i="16" s="1"/>
  <c r="O4" i="18"/>
  <c r="N4" i="18"/>
  <c r="M4" i="18"/>
  <c r="L4" i="18"/>
  <c r="K4" i="18"/>
  <c r="J4" i="18"/>
  <c r="I4" i="18"/>
  <c r="H4" i="18"/>
  <c r="P25" i="16"/>
  <c r="Q25" i="16"/>
  <c r="O26" i="16"/>
  <c r="N27" i="16"/>
  <c r="P27" i="16"/>
  <c r="T33" i="17"/>
  <c r="H67" i="17" s="1"/>
  <c r="T32" i="17"/>
  <c r="T31" i="17"/>
  <c r="H65" i="17" s="1"/>
  <c r="T30" i="17"/>
  <c r="H64" i="17" s="1"/>
  <c r="T29" i="17"/>
  <c r="H63" i="17" s="1"/>
  <c r="T28" i="17"/>
  <c r="T27" i="17"/>
  <c r="H61" i="17" s="1"/>
  <c r="T26" i="17"/>
  <c r="H60" i="17" s="1"/>
  <c r="T25" i="17"/>
  <c r="T24" i="17"/>
  <c r="H57" i="17" s="1"/>
  <c r="T23" i="17"/>
  <c r="H56" i="17" s="1"/>
  <c r="T22" i="17"/>
  <c r="H55" i="17" s="1"/>
  <c r="T21" i="17"/>
  <c r="H54" i="17" s="1"/>
  <c r="T20" i="17"/>
  <c r="H53" i="17" s="1"/>
  <c r="T19" i="17"/>
  <c r="T18" i="17"/>
  <c r="H51" i="17" s="1"/>
  <c r="T17" i="17"/>
  <c r="T16" i="17"/>
  <c r="H49" i="17" s="1"/>
  <c r="T15" i="17"/>
  <c r="H48" i="17" s="1"/>
  <c r="U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T13" i="17"/>
  <c r="T12" i="17"/>
  <c r="T11" i="17"/>
  <c r="T10" i="17" s="1"/>
  <c r="U10" i="17"/>
  <c r="S10" i="17"/>
  <c r="R10" i="17"/>
  <c r="Q10" i="17"/>
  <c r="P10" i="17"/>
  <c r="O10" i="17"/>
  <c r="N10" i="17"/>
  <c r="M10" i="17"/>
  <c r="L10" i="17"/>
  <c r="K10" i="17"/>
  <c r="J10" i="17"/>
  <c r="I10" i="17"/>
  <c r="H10" i="17"/>
  <c r="T9" i="17"/>
  <c r="H42" i="17" s="1"/>
  <c r="T8" i="17"/>
  <c r="T7" i="17"/>
  <c r="T6" i="17"/>
  <c r="T5" i="17"/>
  <c r="U4" i="17"/>
  <c r="S4" i="17"/>
  <c r="R4" i="17"/>
  <c r="Q4" i="17"/>
  <c r="P4" i="17"/>
  <c r="O4" i="17"/>
  <c r="N4" i="17"/>
  <c r="M4" i="17"/>
  <c r="L4" i="17"/>
  <c r="K4" i="17"/>
  <c r="J4" i="17"/>
  <c r="I4" i="17"/>
  <c r="H4" i="17"/>
  <c r="M20" i="16"/>
  <c r="N20" i="16"/>
  <c r="M6" i="16"/>
  <c r="N6" i="16"/>
  <c r="O6" i="16"/>
  <c r="P6" i="16"/>
  <c r="Q6" i="16"/>
  <c r="H44" i="18" l="1"/>
  <c r="H43" i="17"/>
  <c r="T4" i="18"/>
  <c r="T14" i="18"/>
  <c r="H47" i="18" s="1"/>
  <c r="H44" i="17"/>
  <c r="L34" i="17"/>
  <c r="Q24" i="16"/>
  <c r="P24" i="16"/>
  <c r="P28" i="16" s="1"/>
  <c r="O24" i="16"/>
  <c r="N24" i="16"/>
  <c r="Q28" i="16"/>
  <c r="N28" i="16"/>
  <c r="Q34" i="17"/>
  <c r="J34" i="17"/>
  <c r="U34" i="17"/>
  <c r="M34" i="17"/>
  <c r="S34" i="17"/>
  <c r="N34" i="17"/>
  <c r="O34" i="17"/>
  <c r="I34" i="17"/>
  <c r="R34" i="17"/>
  <c r="K34" i="17"/>
  <c r="T14" i="17"/>
  <c r="H47" i="17" s="1"/>
  <c r="T4" i="17"/>
  <c r="H37" i="17" s="1"/>
  <c r="H34" i="17"/>
  <c r="P34" i="17"/>
  <c r="H34" i="18"/>
  <c r="O28" i="16" l="1"/>
  <c r="T34" i="17"/>
  <c r="H38" i="18"/>
  <c r="H38" i="17"/>
  <c r="F6" i="16"/>
  <c r="G6" i="16"/>
  <c r="H6" i="16"/>
  <c r="I6" i="16"/>
  <c r="J6" i="16"/>
  <c r="K6" i="16"/>
  <c r="L6" i="16"/>
  <c r="F25" i="16"/>
  <c r="M25" i="16"/>
  <c r="P34" i="18"/>
  <c r="H39" i="18"/>
  <c r="H40" i="18"/>
  <c r="I27" i="16"/>
  <c r="M34" i="18"/>
  <c r="L27" i="16"/>
  <c r="M27" i="16"/>
  <c r="U34" i="18"/>
  <c r="H49" i="18"/>
  <c r="H50" i="18"/>
  <c r="H53" i="18"/>
  <c r="H54" i="18"/>
  <c r="H57" i="18"/>
  <c r="H59" i="18"/>
  <c r="H64" i="18"/>
  <c r="I34" i="18"/>
  <c r="J34" i="18"/>
  <c r="L34" i="18"/>
  <c r="Q34" i="18"/>
  <c r="R34" i="18"/>
  <c r="H41" i="18"/>
  <c r="H48" i="18"/>
  <c r="H51" i="18"/>
  <c r="H52" i="18"/>
  <c r="H55" i="18"/>
  <c r="H56" i="18"/>
  <c r="H60" i="18"/>
  <c r="H61" i="18"/>
  <c r="H67" i="18"/>
  <c r="H39" i="17"/>
  <c r="H40" i="17"/>
  <c r="H41" i="17"/>
  <c r="R5" i="16"/>
  <c r="F33" i="16" s="1"/>
  <c r="F9" i="16"/>
  <c r="G9" i="16"/>
  <c r="H9" i="16"/>
  <c r="I9" i="16"/>
  <c r="J9" i="16"/>
  <c r="K9" i="16"/>
  <c r="L9" i="16"/>
  <c r="M9" i="16"/>
  <c r="N9" i="16"/>
  <c r="O9" i="16"/>
  <c r="P9" i="16"/>
  <c r="Q9" i="16"/>
  <c r="S9" i="16"/>
  <c r="R10" i="16"/>
  <c r="R11" i="16"/>
  <c r="R12" i="16"/>
  <c r="R13" i="16"/>
  <c r="F14" i="16"/>
  <c r="F8" i="16" s="1"/>
  <c r="F19" i="16" s="1"/>
  <c r="G14" i="16"/>
  <c r="H14" i="16"/>
  <c r="I14" i="16"/>
  <c r="J14" i="16"/>
  <c r="K14" i="16"/>
  <c r="L14" i="16"/>
  <c r="M14" i="16"/>
  <c r="N14" i="16"/>
  <c r="O14" i="16"/>
  <c r="P14" i="16"/>
  <c r="Q14" i="16"/>
  <c r="S14" i="16"/>
  <c r="R15" i="16"/>
  <c r="R16" i="16"/>
  <c r="R17" i="16"/>
  <c r="R18" i="16"/>
  <c r="F20" i="16"/>
  <c r="G20" i="16"/>
  <c r="H20" i="16"/>
  <c r="I20" i="16"/>
  <c r="J20" i="16"/>
  <c r="K20" i="16"/>
  <c r="R20" i="16" s="1"/>
  <c r="L20" i="16"/>
  <c r="R21" i="16"/>
  <c r="R22" i="16"/>
  <c r="R23" i="16"/>
  <c r="S24" i="16"/>
  <c r="G25" i="16"/>
  <c r="H25" i="16"/>
  <c r="I25" i="16"/>
  <c r="J25" i="16"/>
  <c r="K25" i="16"/>
  <c r="L25" i="16"/>
  <c r="F26" i="16"/>
  <c r="G26" i="16"/>
  <c r="H26" i="16"/>
  <c r="I26" i="16"/>
  <c r="J26" i="16"/>
  <c r="K26" i="16"/>
  <c r="L26" i="16"/>
  <c r="M26" i="16"/>
  <c r="F27" i="16"/>
  <c r="G27" i="16"/>
  <c r="H27" i="16"/>
  <c r="J27" i="16"/>
  <c r="K27" i="16"/>
  <c r="S28" i="16"/>
  <c r="N20" i="15"/>
  <c r="L24" i="16" l="1"/>
  <c r="K24" i="16"/>
  <c r="K28" i="16" s="1"/>
  <c r="J24" i="16"/>
  <c r="J28" i="16" s="1"/>
  <c r="M24" i="16"/>
  <c r="O8" i="16"/>
  <c r="O29" i="16" s="1"/>
  <c r="M8" i="16"/>
  <c r="N8" i="16"/>
  <c r="Q8" i="16"/>
  <c r="P8" i="16"/>
  <c r="N34" i="18"/>
  <c r="S34" i="18"/>
  <c r="K34" i="18"/>
  <c r="R26" i="16"/>
  <c r="F38" i="16" s="1"/>
  <c r="R14" i="16"/>
  <c r="R9" i="16"/>
  <c r="M19" i="16"/>
  <c r="L8" i="16"/>
  <c r="L19" i="16" s="1"/>
  <c r="S8" i="16"/>
  <c r="S29" i="16" s="1"/>
  <c r="K8" i="16"/>
  <c r="R8" i="16" s="1"/>
  <c r="F34" i="16" s="1"/>
  <c r="H8" i="16"/>
  <c r="H19" i="16" s="1"/>
  <c r="J8" i="16"/>
  <c r="J19" i="16" s="1"/>
  <c r="O19" i="16"/>
  <c r="G8" i="16"/>
  <c r="G19" i="16" s="1"/>
  <c r="I8" i="16"/>
  <c r="I19" i="16" s="1"/>
  <c r="I24" i="16"/>
  <c r="O34" i="18"/>
  <c r="H24" i="16"/>
  <c r="G24" i="16"/>
  <c r="G28" i="16" s="1"/>
  <c r="F24" i="16"/>
  <c r="F28" i="16" s="1"/>
  <c r="R27" i="16"/>
  <c r="F39" i="16" s="1"/>
  <c r="R25" i="16"/>
  <c r="F34" i="15"/>
  <c r="Q19" i="16" l="1"/>
  <c r="Q29" i="16"/>
  <c r="N19" i="16"/>
  <c r="N29" i="16"/>
  <c r="H29" i="16"/>
  <c r="P19" i="16"/>
  <c r="P29" i="16"/>
  <c r="M29" i="16"/>
  <c r="M28" i="16"/>
  <c r="K19" i="16"/>
  <c r="R19" i="16" s="1"/>
  <c r="S19" i="16"/>
  <c r="K29" i="16"/>
  <c r="F29" i="16"/>
  <c r="H28" i="16"/>
  <c r="L29" i="16"/>
  <c r="L28" i="16"/>
  <c r="J29" i="16"/>
  <c r="I29" i="16"/>
  <c r="I28" i="16"/>
  <c r="G29" i="16"/>
  <c r="H37" i="18"/>
  <c r="T34" i="18"/>
  <c r="R24" i="16"/>
  <c r="F37" i="16"/>
  <c r="S28" i="5"/>
  <c r="F33" i="15"/>
  <c r="S24" i="15"/>
  <c r="S28" i="15" s="1"/>
  <c r="R20" i="15"/>
  <c r="Q20" i="15"/>
  <c r="P20" i="15"/>
  <c r="O20" i="15"/>
  <c r="M20" i="15"/>
  <c r="L20" i="15"/>
  <c r="K20" i="15"/>
  <c r="J20" i="15"/>
  <c r="I20" i="15"/>
  <c r="H20" i="15"/>
  <c r="G20" i="15"/>
  <c r="F20" i="15"/>
  <c r="S19" i="15"/>
  <c r="F35" i="15" s="1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S9" i="15"/>
  <c r="R9" i="15"/>
  <c r="Q9" i="15"/>
  <c r="P9" i="15"/>
  <c r="O9" i="15"/>
  <c r="O8" i="15" s="1"/>
  <c r="O19" i="15" s="1"/>
  <c r="N9" i="15"/>
  <c r="M9" i="15"/>
  <c r="L9" i="15"/>
  <c r="K9" i="15"/>
  <c r="J9" i="15"/>
  <c r="I9" i="15"/>
  <c r="H9" i="15"/>
  <c r="G9" i="15"/>
  <c r="F9" i="15"/>
  <c r="Q6" i="15"/>
  <c r="P6" i="15"/>
  <c r="O6" i="15"/>
  <c r="N6" i="15"/>
  <c r="M6" i="15"/>
  <c r="L6" i="15"/>
  <c r="K6" i="15"/>
  <c r="J6" i="15"/>
  <c r="I6" i="15"/>
  <c r="H6" i="15"/>
  <c r="G6" i="15"/>
  <c r="F6" i="15"/>
  <c r="F35" i="16" l="1"/>
  <c r="R28" i="16"/>
  <c r="F40" i="16" s="1"/>
  <c r="R29" i="16"/>
  <c r="F41" i="16" s="1"/>
  <c r="F36" i="16"/>
  <c r="L8" i="15"/>
  <c r="L19" i="15" s="1"/>
  <c r="M8" i="15"/>
  <c r="M19" i="15" s="1"/>
  <c r="S29" i="15"/>
  <c r="F8" i="15"/>
  <c r="F19" i="15" s="1"/>
  <c r="N8" i="15"/>
  <c r="N19" i="15" s="1"/>
  <c r="G8" i="15"/>
  <c r="G19" i="15" s="1"/>
  <c r="P8" i="15"/>
  <c r="P19" i="15" s="1"/>
  <c r="Q8" i="15"/>
  <c r="Q19" i="15" s="1"/>
  <c r="J8" i="15"/>
  <c r="J19" i="15" s="1"/>
  <c r="K8" i="15"/>
  <c r="K19" i="15" s="1"/>
  <c r="H8" i="15"/>
  <c r="H19" i="15" s="1"/>
  <c r="I8" i="15"/>
  <c r="I19" i="15" s="1"/>
  <c r="R22" i="11" l="1"/>
  <c r="R21" i="11"/>
  <c r="S32" i="11"/>
  <c r="R32" i="11"/>
  <c r="S25" i="11"/>
  <c r="S24" i="11"/>
  <c r="R24" i="11"/>
  <c r="S22" i="11"/>
  <c r="S21" i="11"/>
  <c r="S18" i="11"/>
  <c r="R18" i="11"/>
  <c r="S17" i="11"/>
  <c r="S16" i="11"/>
  <c r="R16" i="11"/>
  <c r="S12" i="11"/>
  <c r="R9" i="9"/>
  <c r="R4" i="9"/>
  <c r="S12" i="9"/>
  <c r="S32" i="9"/>
  <c r="R32" i="9"/>
  <c r="S17" i="9"/>
  <c r="S25" i="9"/>
  <c r="S24" i="9"/>
  <c r="R24" i="9"/>
  <c r="R22" i="9"/>
  <c r="S21" i="9"/>
  <c r="R21" i="9"/>
  <c r="S18" i="9"/>
  <c r="R18" i="9"/>
  <c r="S16" i="9"/>
  <c r="R16" i="9"/>
  <c r="R13" i="9" l="1"/>
  <c r="Q6" i="5"/>
  <c r="P6" i="5"/>
  <c r="O6" i="5"/>
  <c r="N6" i="5"/>
  <c r="M6" i="5"/>
  <c r="L6" i="5"/>
  <c r="K6" i="5"/>
  <c r="J6" i="5"/>
  <c r="I6" i="5"/>
  <c r="H6" i="5"/>
  <c r="G6" i="5"/>
  <c r="F6" i="5"/>
  <c r="U13" i="7" l="1"/>
  <c r="Q13" i="7"/>
  <c r="J13" i="7"/>
  <c r="I13" i="7"/>
  <c r="H13" i="7"/>
  <c r="U13" i="11"/>
  <c r="S13" i="11"/>
  <c r="Q27" i="15" s="1"/>
  <c r="R13" i="11"/>
  <c r="P27" i="15" s="1"/>
  <c r="M13" i="11"/>
  <c r="K27" i="15" s="1"/>
  <c r="L13" i="11"/>
  <c r="J27" i="15" s="1"/>
  <c r="K13" i="11"/>
  <c r="I27" i="15" s="1"/>
  <c r="J13" i="11"/>
  <c r="H27" i="15" s="1"/>
  <c r="I13" i="11"/>
  <c r="G27" i="15" s="1"/>
  <c r="H13" i="11"/>
  <c r="F27" i="15" s="1"/>
  <c r="U13" i="9"/>
  <c r="S29" i="5" l="1"/>
  <c r="R14" i="5"/>
  <c r="Q14" i="5"/>
  <c r="P14" i="5"/>
  <c r="O14" i="5"/>
  <c r="N14" i="5"/>
  <c r="M14" i="5"/>
  <c r="L14" i="5"/>
  <c r="K14" i="5"/>
  <c r="J14" i="5"/>
  <c r="I14" i="5"/>
  <c r="H14" i="5"/>
  <c r="G14" i="5"/>
  <c r="R9" i="5"/>
  <c r="Q9" i="5"/>
  <c r="P9" i="5"/>
  <c r="O9" i="5"/>
  <c r="N9" i="5"/>
  <c r="M9" i="5"/>
  <c r="L9" i="5"/>
  <c r="K9" i="5"/>
  <c r="J9" i="5"/>
  <c r="I9" i="5"/>
  <c r="H9" i="5"/>
  <c r="G9" i="5"/>
  <c r="F14" i="5"/>
  <c r="F9" i="5"/>
  <c r="S13" i="9"/>
  <c r="O13" i="9"/>
  <c r="N13" i="9"/>
  <c r="M13" i="9"/>
  <c r="L13" i="9"/>
  <c r="K13" i="9"/>
  <c r="J13" i="9"/>
  <c r="I13" i="9"/>
  <c r="H13" i="9"/>
  <c r="U13" i="6"/>
  <c r="Q13" i="6"/>
  <c r="P13" i="6"/>
  <c r="O13" i="6"/>
  <c r="N13" i="6"/>
  <c r="M13" i="6"/>
  <c r="L13" i="6"/>
  <c r="K13" i="6"/>
  <c r="J13" i="6"/>
  <c r="I13" i="6"/>
  <c r="H13" i="6"/>
  <c r="S19" i="5"/>
  <c r="S14" i="5"/>
  <c r="S9" i="5"/>
  <c r="U9" i="9" l="1"/>
  <c r="T5" i="9" l="1"/>
  <c r="H37" i="9" s="1"/>
  <c r="P32" i="9"/>
  <c r="P26" i="9"/>
  <c r="P25" i="9"/>
  <c r="P24" i="9"/>
  <c r="P22" i="9"/>
  <c r="P21" i="9"/>
  <c r="P18" i="9"/>
  <c r="P16" i="9"/>
  <c r="P13" i="9" l="1"/>
  <c r="Q32" i="9"/>
  <c r="Q9" i="9"/>
  <c r="Q4" i="9"/>
  <c r="Q16" i="9"/>
  <c r="Q21" i="9"/>
  <c r="Q24" i="9"/>
  <c r="Q22" i="9"/>
  <c r="Q32" i="11"/>
  <c r="Q25" i="11"/>
  <c r="Q22" i="11"/>
  <c r="Q21" i="11"/>
  <c r="Q18" i="11"/>
  <c r="Q16" i="11"/>
  <c r="Q24" i="11"/>
  <c r="P32" i="11"/>
  <c r="P25" i="11"/>
  <c r="P24" i="11"/>
  <c r="P22" i="11"/>
  <c r="P21" i="11"/>
  <c r="P18" i="11"/>
  <c r="P16" i="11"/>
  <c r="Q13" i="9" l="1"/>
  <c r="P13" i="11"/>
  <c r="N27" i="15" s="1"/>
  <c r="Q13" i="11"/>
  <c r="O27" i="15" s="1"/>
  <c r="O32" i="11"/>
  <c r="O25" i="11"/>
  <c r="O24" i="11"/>
  <c r="O22" i="11"/>
  <c r="O21" i="11"/>
  <c r="O18" i="11"/>
  <c r="O16" i="11"/>
  <c r="N32" i="11"/>
  <c r="T32" i="11" s="1"/>
  <c r="N25" i="11"/>
  <c r="N24" i="11"/>
  <c r="N22" i="11"/>
  <c r="N21" i="11"/>
  <c r="N18" i="11"/>
  <c r="N17" i="11"/>
  <c r="N16" i="11"/>
  <c r="N13" i="11" l="1"/>
  <c r="L27" i="15" s="1"/>
  <c r="O13" i="11"/>
  <c r="M27" i="15" s="1"/>
  <c r="Q20" i="5"/>
  <c r="P20" i="5"/>
  <c r="O20" i="5"/>
  <c r="N20" i="5"/>
  <c r="M20" i="5"/>
  <c r="R27" i="15" l="1"/>
  <c r="F39" i="15" s="1"/>
  <c r="H65" i="11"/>
  <c r="T31" i="11"/>
  <c r="T30" i="11"/>
  <c r="T29" i="11"/>
  <c r="H62" i="11" s="1"/>
  <c r="T28" i="11"/>
  <c r="T27" i="11"/>
  <c r="T26" i="11"/>
  <c r="H59" i="11" s="1"/>
  <c r="T25" i="11"/>
  <c r="H58" i="11" s="1"/>
  <c r="T24" i="11"/>
  <c r="H57" i="11" s="1"/>
  <c r="T23" i="11"/>
  <c r="H55" i="11" s="1"/>
  <c r="T22" i="11"/>
  <c r="H54" i="11" s="1"/>
  <c r="T21" i="11"/>
  <c r="H53" i="11" s="1"/>
  <c r="T20" i="11"/>
  <c r="H52" i="11" s="1"/>
  <c r="T19" i="11"/>
  <c r="H51" i="11" s="1"/>
  <c r="T18" i="11"/>
  <c r="H50" i="11" s="1"/>
  <c r="T17" i="11"/>
  <c r="H49" i="11" s="1"/>
  <c r="T16" i="11"/>
  <c r="H48" i="11" s="1"/>
  <c r="T15" i="11"/>
  <c r="H47" i="11" s="1"/>
  <c r="L9" i="11"/>
  <c r="J26" i="15" s="1"/>
  <c r="K9" i="11"/>
  <c r="I26" i="15" s="1"/>
  <c r="T11" i="11"/>
  <c r="T10" i="11"/>
  <c r="H42" i="11" s="1"/>
  <c r="U9" i="11"/>
  <c r="S9" i="11"/>
  <c r="Q26" i="15" s="1"/>
  <c r="R9" i="11"/>
  <c r="P26" i="15" s="1"/>
  <c r="Q9" i="11"/>
  <c r="O26" i="15" s="1"/>
  <c r="P9" i="11"/>
  <c r="N26" i="15" s="1"/>
  <c r="O9" i="11"/>
  <c r="M26" i="15" s="1"/>
  <c r="N9" i="11"/>
  <c r="L26" i="15" s="1"/>
  <c r="M9" i="11"/>
  <c r="K26" i="15" s="1"/>
  <c r="J9" i="11"/>
  <c r="H26" i="15" s="1"/>
  <c r="I9" i="11"/>
  <c r="G26" i="15" s="1"/>
  <c r="H9" i="11"/>
  <c r="F26" i="15" s="1"/>
  <c r="O4" i="11"/>
  <c r="M25" i="15" s="1"/>
  <c r="M4" i="11"/>
  <c r="K25" i="15" s="1"/>
  <c r="T7" i="11"/>
  <c r="H39" i="11" s="1"/>
  <c r="T6" i="11"/>
  <c r="H38" i="11" s="1"/>
  <c r="T5" i="11"/>
  <c r="H37" i="11" s="1"/>
  <c r="U4" i="11"/>
  <c r="S4" i="11"/>
  <c r="Q25" i="15" s="1"/>
  <c r="Q24" i="15" s="1"/>
  <c r="R4" i="11"/>
  <c r="P25" i="15" s="1"/>
  <c r="P24" i="15" s="1"/>
  <c r="Q4" i="11"/>
  <c r="O25" i="15" s="1"/>
  <c r="O24" i="15" s="1"/>
  <c r="P4" i="11"/>
  <c r="N25" i="15" s="1"/>
  <c r="N24" i="15" s="1"/>
  <c r="N4" i="11"/>
  <c r="L25" i="15" s="1"/>
  <c r="L24" i="15" s="1"/>
  <c r="L4" i="11"/>
  <c r="J25" i="15" s="1"/>
  <c r="K4" i="11"/>
  <c r="I25" i="15" s="1"/>
  <c r="I24" i="15" s="1"/>
  <c r="I4" i="11"/>
  <c r="G25" i="15" s="1"/>
  <c r="G24" i="15" s="1"/>
  <c r="H4" i="11"/>
  <c r="F25" i="15" s="1"/>
  <c r="T32" i="9"/>
  <c r="H64" i="9" s="1"/>
  <c r="T31" i="9"/>
  <c r="T30" i="9"/>
  <c r="T29" i="9"/>
  <c r="H61" i="9" s="1"/>
  <c r="T28" i="9"/>
  <c r="T27" i="9"/>
  <c r="T26" i="9"/>
  <c r="H58" i="9" s="1"/>
  <c r="T25" i="9"/>
  <c r="H57" i="9" s="1"/>
  <c r="T24" i="9"/>
  <c r="H56" i="9" s="1"/>
  <c r="T23" i="9"/>
  <c r="H54" i="9" s="1"/>
  <c r="T22" i="9"/>
  <c r="H53" i="9" s="1"/>
  <c r="T21" i="9"/>
  <c r="H52" i="9" s="1"/>
  <c r="T20" i="9"/>
  <c r="H51" i="9" s="1"/>
  <c r="T19" i="9"/>
  <c r="H50" i="9" s="1"/>
  <c r="T18" i="9"/>
  <c r="H49" i="9" s="1"/>
  <c r="T17" i="9"/>
  <c r="H48" i="9" s="1"/>
  <c r="T16" i="9"/>
  <c r="H47" i="9" s="1"/>
  <c r="T15" i="9"/>
  <c r="H46" i="9" s="1"/>
  <c r="T14" i="9"/>
  <c r="T12" i="9"/>
  <c r="H44" i="9" s="1"/>
  <c r="T11" i="9"/>
  <c r="T10" i="9"/>
  <c r="H42" i="9" s="1"/>
  <c r="S9" i="9"/>
  <c r="P9" i="9"/>
  <c r="O9" i="9"/>
  <c r="N9" i="9"/>
  <c r="M9" i="9"/>
  <c r="L9" i="9"/>
  <c r="K9" i="9"/>
  <c r="J9" i="9"/>
  <c r="I9" i="9"/>
  <c r="H9" i="9"/>
  <c r="T8" i="9"/>
  <c r="H40" i="9" s="1"/>
  <c r="T7" i="9"/>
  <c r="H39" i="9" s="1"/>
  <c r="T6" i="9"/>
  <c r="H38" i="9" s="1"/>
  <c r="U4" i="9"/>
  <c r="S4" i="9"/>
  <c r="P4" i="9"/>
  <c r="O4" i="9"/>
  <c r="N4" i="9"/>
  <c r="M4" i="9"/>
  <c r="L4" i="9"/>
  <c r="K4" i="9"/>
  <c r="J4" i="9"/>
  <c r="I4" i="9"/>
  <c r="H4" i="9"/>
  <c r="J24" i="15" l="1"/>
  <c r="J29" i="15" s="1"/>
  <c r="M24" i="15"/>
  <c r="R26" i="15"/>
  <c r="F38" i="15" s="1"/>
  <c r="P28" i="15"/>
  <c r="P29" i="15"/>
  <c r="F24" i="15"/>
  <c r="Q28" i="15"/>
  <c r="Q29" i="15"/>
  <c r="J28" i="15"/>
  <c r="G28" i="15"/>
  <c r="G29" i="15"/>
  <c r="L28" i="15"/>
  <c r="L29" i="15"/>
  <c r="I28" i="15"/>
  <c r="I29" i="15"/>
  <c r="N28" i="15"/>
  <c r="N29" i="15"/>
  <c r="K24" i="15"/>
  <c r="O28" i="15"/>
  <c r="O29" i="15"/>
  <c r="M29" i="15"/>
  <c r="M28" i="15"/>
  <c r="H45" i="9"/>
  <c r="T13" i="9"/>
  <c r="T9" i="9"/>
  <c r="H41" i="9" s="1"/>
  <c r="T4" i="9"/>
  <c r="H36" i="9" s="1"/>
  <c r="T9" i="11"/>
  <c r="H41" i="11" s="1"/>
  <c r="T12" i="11"/>
  <c r="H44" i="11" s="1"/>
  <c r="T14" i="11"/>
  <c r="T13" i="11" s="1"/>
  <c r="J4" i="11"/>
  <c r="H25" i="15" s="1"/>
  <c r="H24" i="15" s="1"/>
  <c r="T8" i="11"/>
  <c r="H40" i="11" s="1"/>
  <c r="R20" i="5"/>
  <c r="R25" i="15" l="1"/>
  <c r="R24" i="15" s="1"/>
  <c r="H28" i="15"/>
  <c r="H29" i="15"/>
  <c r="F28" i="15"/>
  <c r="F29" i="15"/>
  <c r="T4" i="11"/>
  <c r="H36" i="11" s="1"/>
  <c r="K28" i="15"/>
  <c r="K29" i="15"/>
  <c r="H45" i="11"/>
  <c r="H46" i="11"/>
  <c r="K24" i="7"/>
  <c r="K22" i="7"/>
  <c r="K18" i="7"/>
  <c r="K16" i="7"/>
  <c r="R28" i="15" l="1"/>
  <c r="F40" i="15" s="1"/>
  <c r="R29" i="15"/>
  <c r="F37" i="15"/>
  <c r="Q19" i="5"/>
  <c r="P19" i="5"/>
  <c r="S32" i="7"/>
  <c r="S24" i="7"/>
  <c r="S22" i="7"/>
  <c r="S21" i="7"/>
  <c r="S18" i="7"/>
  <c r="S16" i="7"/>
  <c r="S32" i="6"/>
  <c r="S24" i="6"/>
  <c r="S22" i="6"/>
  <c r="S21" i="6"/>
  <c r="S18" i="6"/>
  <c r="S16" i="6"/>
  <c r="R32" i="6"/>
  <c r="R24" i="6"/>
  <c r="R22" i="6"/>
  <c r="R21" i="6"/>
  <c r="R18" i="6"/>
  <c r="R16" i="6"/>
  <c r="R32" i="7"/>
  <c r="R24" i="7"/>
  <c r="R22" i="7"/>
  <c r="R21" i="7"/>
  <c r="R18" i="7"/>
  <c r="R14" i="7"/>
  <c r="R13" i="6" l="1"/>
  <c r="S13" i="6"/>
  <c r="R13" i="7"/>
  <c r="S13" i="7"/>
  <c r="F41" i="15"/>
  <c r="F36" i="15"/>
  <c r="O19" i="5"/>
  <c r="N19" i="5"/>
  <c r="U18" i="8" l="1"/>
  <c r="U21" i="8"/>
  <c r="U22" i="8"/>
  <c r="U25" i="8"/>
  <c r="U26" i="8"/>
  <c r="U27" i="8"/>
  <c r="U33" i="8"/>
  <c r="S33" i="8"/>
  <c r="S25" i="8"/>
  <c r="S21" i="8"/>
  <c r="S16" i="8"/>
  <c r="S18" i="8"/>
  <c r="S22" i="8"/>
  <c r="S8" i="8"/>
  <c r="R33" i="8"/>
  <c r="R25" i="8"/>
  <c r="R21" i="8"/>
  <c r="R16" i="8"/>
  <c r="R18" i="8"/>
  <c r="R22" i="8"/>
  <c r="R8" i="8"/>
  <c r="Q33" i="8"/>
  <c r="Q25" i="8"/>
  <c r="Q21" i="8"/>
  <c r="Q16" i="8"/>
  <c r="Q18" i="8"/>
  <c r="Q22" i="8"/>
  <c r="Q8" i="8"/>
  <c r="P33" i="8"/>
  <c r="P25" i="8"/>
  <c r="P21" i="8"/>
  <c r="P16" i="8"/>
  <c r="P18" i="8"/>
  <c r="P22" i="8"/>
  <c r="P8" i="8"/>
  <c r="O33" i="8"/>
  <c r="O25" i="8"/>
  <c r="O21" i="8"/>
  <c r="O16" i="8"/>
  <c r="O18" i="8"/>
  <c r="O22" i="8"/>
  <c r="O8" i="8"/>
  <c r="N33" i="8"/>
  <c r="N25" i="8"/>
  <c r="N21" i="8"/>
  <c r="M16" i="8"/>
  <c r="N16" i="8"/>
  <c r="N18" i="8"/>
  <c r="N22" i="8"/>
  <c r="N8" i="8"/>
  <c r="M33" i="8"/>
  <c r="M25" i="8"/>
  <c r="M21" i="8"/>
  <c r="M18" i="8"/>
  <c r="M22" i="8"/>
  <c r="M8" i="8"/>
  <c r="L33" i="8" l="1"/>
  <c r="L25" i="8"/>
  <c r="L21" i="8"/>
  <c r="L16" i="8"/>
  <c r="L18" i="8"/>
  <c r="L22" i="8"/>
  <c r="L8" i="8"/>
  <c r="L4" i="8" s="1"/>
  <c r="K33" i="8"/>
  <c r="K25" i="8"/>
  <c r="K21" i="8"/>
  <c r="K16" i="8"/>
  <c r="K18" i="8"/>
  <c r="K22" i="8"/>
  <c r="K8" i="8"/>
  <c r="J33" i="8"/>
  <c r="J30" i="8"/>
  <c r="J25" i="8"/>
  <c r="J21" i="8"/>
  <c r="J16" i="8"/>
  <c r="J18" i="8"/>
  <c r="J13" i="8" s="1"/>
  <c r="J22" i="8"/>
  <c r="J8" i="8"/>
  <c r="I8" i="8"/>
  <c r="I4" i="8" s="1"/>
  <c r="I33" i="8"/>
  <c r="I25" i="8"/>
  <c r="I21" i="8"/>
  <c r="I16" i="8"/>
  <c r="I15" i="8"/>
  <c r="I18" i="8"/>
  <c r="I22" i="8"/>
  <c r="H33" i="8"/>
  <c r="H30" i="8"/>
  <c r="T30" i="8" s="1"/>
  <c r="H63" i="8" s="1"/>
  <c r="H25" i="8"/>
  <c r="H21" i="8"/>
  <c r="H16" i="8"/>
  <c r="H15" i="8"/>
  <c r="H18" i="8"/>
  <c r="H22" i="8"/>
  <c r="H8" i="8"/>
  <c r="H4" i="8" s="1"/>
  <c r="U34" i="8"/>
  <c r="S34" i="8"/>
  <c r="R34" i="8"/>
  <c r="Q34" i="8"/>
  <c r="T32" i="8"/>
  <c r="T31" i="8"/>
  <c r="T29" i="8"/>
  <c r="T28" i="8"/>
  <c r="T27" i="8"/>
  <c r="H60" i="8" s="1"/>
  <c r="T26" i="8"/>
  <c r="H59" i="8" s="1"/>
  <c r="T24" i="8"/>
  <c r="T23" i="8"/>
  <c r="H56" i="8" s="1"/>
  <c r="T20" i="8"/>
  <c r="H53" i="8" s="1"/>
  <c r="T19" i="8"/>
  <c r="H52" i="8" s="1"/>
  <c r="T17" i="8"/>
  <c r="H50" i="8" s="1"/>
  <c r="P34" i="8"/>
  <c r="O13" i="8"/>
  <c r="N13" i="8"/>
  <c r="M13" i="8"/>
  <c r="T14" i="8"/>
  <c r="U13" i="8"/>
  <c r="S13" i="8"/>
  <c r="R13" i="8"/>
  <c r="Q13" i="8"/>
  <c r="P13" i="8"/>
  <c r="L9" i="8"/>
  <c r="T12" i="8"/>
  <c r="H45" i="8" s="1"/>
  <c r="T11" i="8"/>
  <c r="T10" i="8"/>
  <c r="H43" i="8" s="1"/>
  <c r="U9" i="8"/>
  <c r="S9" i="8"/>
  <c r="R9" i="8"/>
  <c r="Q9" i="8"/>
  <c r="P9" i="8"/>
  <c r="O9" i="8"/>
  <c r="N9" i="8"/>
  <c r="M9" i="8"/>
  <c r="J9" i="8"/>
  <c r="I9" i="8"/>
  <c r="H9" i="8"/>
  <c r="O4" i="8"/>
  <c r="T7" i="8"/>
  <c r="H40" i="8" s="1"/>
  <c r="T6" i="8"/>
  <c r="H39" i="8" s="1"/>
  <c r="T5" i="8"/>
  <c r="H38" i="8" s="1"/>
  <c r="U4" i="8"/>
  <c r="S4" i="8"/>
  <c r="R4" i="8"/>
  <c r="Q4" i="8"/>
  <c r="P4" i="8"/>
  <c r="N4" i="8"/>
  <c r="M4" i="8"/>
  <c r="K4" i="8"/>
  <c r="J4" i="8"/>
  <c r="H8" i="7"/>
  <c r="I8" i="7"/>
  <c r="J8" i="7"/>
  <c r="K8" i="7"/>
  <c r="L8" i="7"/>
  <c r="M8" i="7"/>
  <c r="N32" i="7"/>
  <c r="N8" i="7"/>
  <c r="N12" i="7"/>
  <c r="N18" i="7"/>
  <c r="N22" i="7"/>
  <c r="N21" i="7"/>
  <c r="N24" i="7"/>
  <c r="N16" i="7"/>
  <c r="O8" i="7"/>
  <c r="P8" i="7"/>
  <c r="P32" i="7"/>
  <c r="P24" i="7"/>
  <c r="P21" i="7"/>
  <c r="P16" i="7"/>
  <c r="P18" i="7"/>
  <c r="P22" i="7"/>
  <c r="O32" i="7"/>
  <c r="O24" i="7"/>
  <c r="O21" i="7"/>
  <c r="O16" i="7"/>
  <c r="O18" i="7"/>
  <c r="O22" i="7"/>
  <c r="M32" i="7"/>
  <c r="M12" i="7"/>
  <c r="M24" i="7"/>
  <c r="M21" i="7"/>
  <c r="M16" i="7"/>
  <c r="M18" i="7"/>
  <c r="M22" i="7"/>
  <c r="L32" i="7"/>
  <c r="L12" i="7"/>
  <c r="L24" i="7"/>
  <c r="L21" i="7"/>
  <c r="L16" i="7"/>
  <c r="L18" i="7"/>
  <c r="L22" i="7"/>
  <c r="K32" i="7"/>
  <c r="K12" i="7"/>
  <c r="K21" i="7"/>
  <c r="K34" i="8" l="1"/>
  <c r="P13" i="7"/>
  <c r="J34" i="8"/>
  <c r="H34" i="8"/>
  <c r="O13" i="7"/>
  <c r="L13" i="7"/>
  <c r="N13" i="7"/>
  <c r="M13" i="7"/>
  <c r="K13" i="7"/>
  <c r="L34" i="8"/>
  <c r="T33" i="8"/>
  <c r="H66" i="8" s="1"/>
  <c r="I34" i="8"/>
  <c r="T15" i="8"/>
  <c r="H48" i="8" s="1"/>
  <c r="I13" i="8"/>
  <c r="T22" i="8"/>
  <c r="H55" i="8" s="1"/>
  <c r="T25" i="8"/>
  <c r="H58" i="8" s="1"/>
  <c r="T21" i="8"/>
  <c r="H54" i="8" s="1"/>
  <c r="H13" i="8"/>
  <c r="T4" i="8"/>
  <c r="H37" i="8" s="1"/>
  <c r="H47" i="8"/>
  <c r="K13" i="8"/>
  <c r="M34" i="8"/>
  <c r="T8" i="8"/>
  <c r="H41" i="8" s="1"/>
  <c r="L13" i="8"/>
  <c r="N34" i="8"/>
  <c r="O34" i="8"/>
  <c r="K9" i="8"/>
  <c r="T9" i="8" s="1"/>
  <c r="H42" i="8" s="1"/>
  <c r="T16" i="8"/>
  <c r="H49" i="8" s="1"/>
  <c r="T18" i="8"/>
  <c r="H51" i="8" s="1"/>
  <c r="M19" i="5"/>
  <c r="T13" i="8" l="1"/>
  <c r="H46" i="8" s="1"/>
  <c r="T34" i="8"/>
  <c r="T35" i="8" s="1"/>
  <c r="L20" i="5"/>
  <c r="L19" i="5"/>
  <c r="M4" i="7" l="1"/>
  <c r="M9" i="7"/>
  <c r="K25" i="5" l="1"/>
  <c r="M33" i="7"/>
  <c r="F35" i="5"/>
  <c r="F34" i="5"/>
  <c r="F33" i="5"/>
  <c r="K20" i="5" l="1"/>
  <c r="K19" i="5"/>
  <c r="M4" i="6" l="1"/>
  <c r="J27" i="5" l="1"/>
  <c r="J20" i="5"/>
  <c r="J19" i="5"/>
  <c r="T23" i="7"/>
  <c r="T22" i="7"/>
  <c r="T21" i="7"/>
  <c r="T20" i="7"/>
  <c r="T19" i="7"/>
  <c r="T18" i="7"/>
  <c r="T17" i="7"/>
  <c r="T16" i="7"/>
  <c r="T15" i="7"/>
  <c r="T14" i="7"/>
  <c r="U4" i="7"/>
  <c r="U9" i="7"/>
  <c r="T12" i="7"/>
  <c r="T11" i="7"/>
  <c r="T10" i="7"/>
  <c r="T8" i="7"/>
  <c r="T7" i="7"/>
  <c r="T6" i="7"/>
  <c r="T5" i="7"/>
  <c r="L9" i="7"/>
  <c r="J26" i="5" s="1"/>
  <c r="L4" i="7"/>
  <c r="J25" i="5" l="1"/>
  <c r="L33" i="7"/>
  <c r="U33" i="7"/>
  <c r="J24" i="5"/>
  <c r="I20" i="5"/>
  <c r="H20" i="5"/>
  <c r="G20" i="5"/>
  <c r="F20" i="5"/>
  <c r="I19" i="5"/>
  <c r="H19" i="5"/>
  <c r="G19" i="5"/>
  <c r="F19" i="5"/>
  <c r="J28" i="5" l="1"/>
  <c r="J29" i="5"/>
  <c r="T32" i="7"/>
  <c r="H64" i="7" s="1"/>
  <c r="T31" i="7"/>
  <c r="T30" i="7"/>
  <c r="T29" i="7"/>
  <c r="H61" i="7" s="1"/>
  <c r="T28" i="7"/>
  <c r="T27" i="7"/>
  <c r="T26" i="7"/>
  <c r="H58" i="7" s="1"/>
  <c r="T25" i="7"/>
  <c r="T24" i="7"/>
  <c r="H55" i="7"/>
  <c r="H54" i="7"/>
  <c r="H53" i="7"/>
  <c r="H52" i="7"/>
  <c r="H51" i="7"/>
  <c r="H50" i="7"/>
  <c r="H48" i="7"/>
  <c r="H47" i="7"/>
  <c r="H46" i="7"/>
  <c r="H44" i="7"/>
  <c r="H42" i="7"/>
  <c r="H40" i="7"/>
  <c r="H39" i="7"/>
  <c r="H38" i="7"/>
  <c r="H37" i="7"/>
  <c r="H49" i="7"/>
  <c r="Q27" i="5"/>
  <c r="P27" i="5"/>
  <c r="O27" i="5"/>
  <c r="N27" i="5"/>
  <c r="M27" i="5"/>
  <c r="L27" i="5"/>
  <c r="K27" i="5"/>
  <c r="I27" i="5"/>
  <c r="H27" i="5"/>
  <c r="G27" i="5"/>
  <c r="S9" i="7"/>
  <c r="Q26" i="5" s="1"/>
  <c r="R9" i="7"/>
  <c r="P26" i="5" s="1"/>
  <c r="Q9" i="7"/>
  <c r="O26" i="5" s="1"/>
  <c r="P9" i="7"/>
  <c r="N26" i="5" s="1"/>
  <c r="O9" i="7"/>
  <c r="M26" i="5" s="1"/>
  <c r="N9" i="7"/>
  <c r="L26" i="5" s="1"/>
  <c r="K9" i="7"/>
  <c r="I26" i="5" s="1"/>
  <c r="J9" i="7"/>
  <c r="H26" i="5" s="1"/>
  <c r="I9" i="7"/>
  <c r="G26" i="5" s="1"/>
  <c r="S4" i="7"/>
  <c r="R4" i="7"/>
  <c r="Q4" i="7"/>
  <c r="P4" i="7"/>
  <c r="O4" i="7"/>
  <c r="N4" i="7"/>
  <c r="K4" i="7"/>
  <c r="J4" i="7"/>
  <c r="I4" i="7"/>
  <c r="F27" i="5"/>
  <c r="H9" i="7"/>
  <c r="F26" i="5" s="1"/>
  <c r="H4" i="7"/>
  <c r="S9" i="6"/>
  <c r="R9" i="6"/>
  <c r="Q9" i="6"/>
  <c r="P9" i="6"/>
  <c r="O9" i="6"/>
  <c r="N9" i="6"/>
  <c r="M9" i="6"/>
  <c r="M33" i="6" s="1"/>
  <c r="L9" i="6"/>
  <c r="J9" i="6"/>
  <c r="I9" i="6"/>
  <c r="H9" i="6"/>
  <c r="S4" i="6"/>
  <c r="R4" i="6"/>
  <c r="Q4" i="6"/>
  <c r="Q33" i="6" s="1"/>
  <c r="P4" i="6"/>
  <c r="P33" i="6" s="1"/>
  <c r="O4" i="6"/>
  <c r="N4" i="6"/>
  <c r="L4" i="6"/>
  <c r="L33" i="6" s="1"/>
  <c r="J4" i="6"/>
  <c r="I4" i="6"/>
  <c r="H4" i="6"/>
  <c r="H33" i="6" s="1"/>
  <c r="K9" i="6"/>
  <c r="K4" i="6"/>
  <c r="T32" i="6"/>
  <c r="H63" i="6" s="1"/>
  <c r="T31" i="6"/>
  <c r="T30" i="6"/>
  <c r="T29" i="6"/>
  <c r="H60" i="6" s="1"/>
  <c r="T28" i="6"/>
  <c r="T27" i="6"/>
  <c r="T26" i="6"/>
  <c r="H57" i="6" s="1"/>
  <c r="T25" i="6"/>
  <c r="H56" i="6" s="1"/>
  <c r="T24" i="6"/>
  <c r="H55" i="6" s="1"/>
  <c r="T23" i="6"/>
  <c r="H54" i="6" s="1"/>
  <c r="T22" i="6"/>
  <c r="H53" i="6" s="1"/>
  <c r="T21" i="6"/>
  <c r="H52" i="6" s="1"/>
  <c r="T20" i="6"/>
  <c r="H51" i="6" s="1"/>
  <c r="T19" i="6"/>
  <c r="H50" i="6" s="1"/>
  <c r="T18" i="6"/>
  <c r="H49" i="6" s="1"/>
  <c r="T17" i="6"/>
  <c r="H48" i="6" s="1"/>
  <c r="T16" i="6"/>
  <c r="H47" i="6" s="1"/>
  <c r="T15" i="6"/>
  <c r="H46" i="6" s="1"/>
  <c r="T14" i="6"/>
  <c r="T12" i="6"/>
  <c r="H44" i="6" s="1"/>
  <c r="T11" i="6"/>
  <c r="T10" i="6"/>
  <c r="H42" i="6" s="1"/>
  <c r="T8" i="6"/>
  <c r="H40" i="6" s="1"/>
  <c r="T7" i="6"/>
  <c r="H39" i="6" s="1"/>
  <c r="T6" i="6"/>
  <c r="H38" i="6" s="1"/>
  <c r="T5" i="6"/>
  <c r="H37" i="6" s="1"/>
  <c r="U9" i="6"/>
  <c r="U4" i="6"/>
  <c r="N33" i="6" l="1"/>
  <c r="H45" i="6"/>
  <c r="T13" i="6"/>
  <c r="R33" i="6"/>
  <c r="I33" i="6"/>
  <c r="O33" i="6"/>
  <c r="S33" i="6"/>
  <c r="U33" i="6"/>
  <c r="K33" i="6"/>
  <c r="J33" i="6"/>
  <c r="R27" i="5"/>
  <c r="H25" i="5"/>
  <c r="J33" i="7"/>
  <c r="I25" i="5"/>
  <c r="I24" i="5" s="1"/>
  <c r="K33" i="7"/>
  <c r="N25" i="5"/>
  <c r="N24" i="5" s="1"/>
  <c r="P33" i="7"/>
  <c r="O25" i="5"/>
  <c r="O24" i="5" s="1"/>
  <c r="Q33" i="7"/>
  <c r="Q25" i="5"/>
  <c r="S33" i="7"/>
  <c r="L25" i="5"/>
  <c r="N33" i="7"/>
  <c r="P25" i="5"/>
  <c r="R33" i="7"/>
  <c r="G25" i="5"/>
  <c r="G24" i="5" s="1"/>
  <c r="I33" i="7"/>
  <c r="M25" i="5"/>
  <c r="O33" i="7"/>
  <c r="H56" i="7"/>
  <c r="T13" i="7"/>
  <c r="H45" i="7" s="1"/>
  <c r="F25" i="5"/>
  <c r="H33" i="7"/>
  <c r="P24" i="5"/>
  <c r="Q24" i="5"/>
  <c r="Q29" i="5" s="1"/>
  <c r="H57" i="7"/>
  <c r="M24" i="5"/>
  <c r="H24" i="5"/>
  <c r="L24" i="5"/>
  <c r="K26" i="5"/>
  <c r="R26" i="5" s="1"/>
  <c r="T9" i="7"/>
  <c r="H41" i="7" s="1"/>
  <c r="T4" i="7"/>
  <c r="T4" i="6"/>
  <c r="T9" i="6"/>
  <c r="H41" i="6" s="1"/>
  <c r="H36" i="6" l="1"/>
  <c r="T33" i="6"/>
  <c r="T34" i="6" s="1"/>
  <c r="F24" i="5"/>
  <c r="F28" i="5" s="1"/>
  <c r="R25" i="5"/>
  <c r="F37" i="5" s="1"/>
  <c r="H36" i="7"/>
  <c r="T33" i="7"/>
  <c r="T34" i="7" s="1"/>
  <c r="F39" i="5"/>
  <c r="H28" i="5"/>
  <c r="H29" i="5"/>
  <c r="O28" i="5"/>
  <c r="O29" i="5"/>
  <c r="L28" i="5"/>
  <c r="L29" i="5"/>
  <c r="I28" i="5"/>
  <c r="I29" i="5"/>
  <c r="G28" i="5"/>
  <c r="G29" i="5"/>
  <c r="N28" i="5"/>
  <c r="N29" i="5"/>
  <c r="P28" i="5"/>
  <c r="P29" i="5"/>
  <c r="M28" i="5"/>
  <c r="M29" i="5"/>
  <c r="Q28" i="5"/>
  <c r="F38" i="5"/>
  <c r="K24" i="5"/>
  <c r="F29" i="5" l="1"/>
  <c r="R24" i="5"/>
  <c r="K29" i="5"/>
  <c r="K28" i="5"/>
  <c r="R29" i="5" l="1"/>
  <c r="F41" i="5" s="1"/>
  <c r="R28" i="5"/>
  <c r="F40" i="5" s="1"/>
  <c r="F3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R3" authorId="0" shapeId="0" xr:uid="{C8F4584C-C188-4FA4-AF7A-616DB12FA179}">
      <text>
        <r>
          <rPr>
            <b/>
            <sz val="9"/>
            <color indexed="81"/>
            <rFont val="MS P ゴシック"/>
            <family val="3"/>
            <charset val="128"/>
          </rPr>
          <t>計画が９月のため、９月時点の数値を入力</t>
        </r>
      </text>
    </comment>
    <comment ref="E4" authorId="0" shapeId="0" xr:uid="{06630A9E-947D-4A45-86B8-F452E2808913}">
      <text>
        <r>
          <rPr>
            <b/>
            <sz val="9"/>
            <color indexed="81"/>
            <rFont val="MS P ゴシック"/>
            <family val="3"/>
            <charset val="128"/>
          </rPr>
          <t>広報五戸より</t>
        </r>
      </text>
    </comment>
    <comment ref="E5" authorId="0" shapeId="0" xr:uid="{CD3B4B30-3AF6-41A6-841B-6CC2E2B5A762}">
      <text>
        <r>
          <rPr>
            <b/>
            <sz val="9"/>
            <color indexed="81"/>
            <rFont val="MS P ゴシック"/>
            <family val="3"/>
            <charset val="128"/>
          </rPr>
          <t>給付担当作成の「介護保険事業状況報告」より</t>
        </r>
      </text>
    </comment>
    <comment ref="E7" authorId="0" shapeId="0" xr:uid="{9107FCFF-A2B7-4701-A8FA-9745F26D0180}">
      <text>
        <r>
          <rPr>
            <b/>
            <sz val="9"/>
            <color indexed="81"/>
            <rFont val="MS P ゴシック"/>
            <family val="3"/>
            <charset val="128"/>
          </rPr>
          <t>担当より</t>
        </r>
      </text>
    </comment>
    <comment ref="E8" authorId="0" shapeId="0" xr:uid="{4F1A6837-CFAF-409A-9018-B95E42356634}">
      <text>
        <r>
          <rPr>
            <b/>
            <sz val="9"/>
            <color indexed="81"/>
            <rFont val="MS P ゴシック"/>
            <family val="3"/>
            <charset val="128"/>
          </rPr>
          <t>月報Excelデータより（国保連システム-出力-各月-７）</t>
        </r>
      </text>
    </comment>
    <comment ref="E20" authorId="0" shapeId="0" xr:uid="{6EF729B4-E314-4A9E-A894-949547AB9232}">
      <text>
        <r>
          <rPr>
            <b/>
            <sz val="9"/>
            <color indexed="81"/>
            <rFont val="MS P ゴシック"/>
            <family val="3"/>
            <charset val="128"/>
          </rPr>
          <t>見える化システムより</t>
        </r>
      </text>
    </comment>
    <comment ref="E24" authorId="0" shapeId="0" xr:uid="{C90680B8-66F0-4A62-AE14-6D79CB168D39}">
      <text>
        <r>
          <rPr>
            <b/>
            <sz val="9"/>
            <color indexed="81"/>
            <rFont val="MS P ゴシック"/>
            <family val="3"/>
            <charset val="128"/>
          </rPr>
          <t>給付費一覧より（補佐から紙ベースもしくはデータでもらう）</t>
        </r>
      </text>
    </comment>
  </commentList>
</comments>
</file>

<file path=xl/sharedStrings.xml><?xml version="1.0" encoding="utf-8"?>
<sst xmlns="http://schemas.openxmlformats.org/spreadsheetml/2006/main" count="1758" uniqueCount="192">
  <si>
    <t>総給付費</t>
    <phoneticPr fontId="3"/>
  </si>
  <si>
    <t>在宅サービス</t>
    <phoneticPr fontId="3"/>
  </si>
  <si>
    <t>居住系サービス</t>
    <phoneticPr fontId="3"/>
  </si>
  <si>
    <t>定期巡回・随時対応型訪問介護看護</t>
  </si>
  <si>
    <t>夜間対応型訪問介護</t>
  </si>
  <si>
    <t>通所介護</t>
  </si>
  <si>
    <t>地域密着型通所介護</t>
  </si>
  <si>
    <t>通所リハビリテーション</t>
  </si>
  <si>
    <t>認知症対応型通所介護</t>
  </si>
  <si>
    <t>小規模多機能型居宅介護</t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</si>
  <si>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</si>
  <si>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短期入所生活介護</t>
  </si>
  <si>
    <t>短期入所療養介護（老健）</t>
  </si>
  <si>
    <t>短期入所療養介護（病院等）</t>
  </si>
  <si>
    <t>福祉用具貸与</t>
  </si>
  <si>
    <t>介護予防支援・居宅介護支援</t>
  </si>
  <si>
    <t>小計</t>
    <rPh sb="0" eb="2">
      <t>ショウケイ</t>
    </rPh>
    <phoneticPr fontId="2"/>
  </si>
  <si>
    <t>特定施設入居者生活介護</t>
  </si>
  <si>
    <t>認知症対応型共同生活介護</t>
  </si>
  <si>
    <t>地域密着型特定施設入居者生活介護</t>
  </si>
  <si>
    <t>施設サービス</t>
    <phoneticPr fontId="3"/>
  </si>
  <si>
    <t>介護老人福祉施設</t>
  </si>
  <si>
    <t>介護老人保健施設</t>
  </si>
  <si>
    <t>介護療養型医療施設</t>
  </si>
  <si>
    <t>在宅サービス</t>
    <phoneticPr fontId="3"/>
  </si>
  <si>
    <t>訪問介護</t>
  </si>
  <si>
    <t>訪問入浴介護</t>
  </si>
  <si>
    <t>訪問看護</t>
  </si>
  <si>
    <t>訪問リハビリテーション</t>
  </si>
  <si>
    <t>居宅療養管理指導</t>
  </si>
  <si>
    <t>累計</t>
  </si>
  <si>
    <t>居住系サービス</t>
  </si>
  <si>
    <t>地域密着型介護老人福祉施設入所者生活介護</t>
  </si>
  <si>
    <t>特定福祉用具販売</t>
    <rPh sb="6" eb="8">
      <t>ハンバイ</t>
    </rPh>
    <phoneticPr fontId="2"/>
  </si>
  <si>
    <t>住宅改修</t>
  </si>
  <si>
    <t>（円）</t>
  </si>
  <si>
    <t>（円）</t>
    <phoneticPr fontId="3"/>
  </si>
  <si>
    <t>（人）</t>
    <rPh sb="1" eb="2">
      <t>ニン</t>
    </rPh>
    <phoneticPr fontId="3"/>
  </si>
  <si>
    <t>実績値</t>
    <rPh sb="0" eb="2">
      <t>ジッセキ</t>
    </rPh>
    <rPh sb="2" eb="3">
      <t>チ</t>
    </rPh>
    <phoneticPr fontId="3"/>
  </si>
  <si>
    <t>計画値</t>
    <rPh sb="0" eb="2">
      <t>ケイカク</t>
    </rPh>
    <rPh sb="2" eb="3">
      <t>チ</t>
    </rPh>
    <phoneticPr fontId="3"/>
  </si>
  <si>
    <t>対計画比(実績値／計画値)</t>
    <rPh sb="0" eb="1">
      <t>タイ</t>
    </rPh>
    <rPh sb="1" eb="3">
      <t>ケイカク</t>
    </rPh>
    <rPh sb="3" eb="4">
      <t>ヒ</t>
    </rPh>
    <rPh sb="5" eb="8">
      <t>ジッセキチ</t>
    </rPh>
    <rPh sb="9" eb="11">
      <t>ケイカク</t>
    </rPh>
    <rPh sb="11" eb="12">
      <t>アタイ</t>
    </rPh>
    <phoneticPr fontId="3"/>
  </si>
  <si>
    <t>（円）</t>
    <phoneticPr fontId="5"/>
  </si>
  <si>
    <t>地域密着型介護老人福祉施設入所者生活介護</t>
    <phoneticPr fontId="5"/>
  </si>
  <si>
    <t>（%）</t>
    <phoneticPr fontId="3"/>
  </si>
  <si>
    <t>第5期</t>
  </si>
  <si>
    <t>第6期</t>
  </si>
  <si>
    <t>H24</t>
  </si>
  <si>
    <t>H25</t>
  </si>
  <si>
    <t>H26</t>
  </si>
  <si>
    <t>H27</t>
  </si>
  <si>
    <t>H28</t>
  </si>
  <si>
    <t>H29</t>
  </si>
  <si>
    <t>-</t>
  </si>
  <si>
    <t>実績値</t>
    <rPh sb="0" eb="3">
      <t>ジッセキチ</t>
    </rPh>
    <phoneticPr fontId="5"/>
  </si>
  <si>
    <t>計画値</t>
    <rPh sb="0" eb="2">
      <t>ケイカク</t>
    </rPh>
    <rPh sb="2" eb="3">
      <t>チ</t>
    </rPh>
    <phoneticPr fontId="5"/>
  </si>
  <si>
    <t>H30.4</t>
    <phoneticPr fontId="5"/>
  </si>
  <si>
    <t>H30.5</t>
  </si>
  <si>
    <t>H30.6</t>
  </si>
  <si>
    <t>H30.7</t>
  </si>
  <si>
    <t>H30.8</t>
  </si>
  <si>
    <t>H30.9</t>
  </si>
  <si>
    <t>H30.10</t>
  </si>
  <si>
    <t>H30.11</t>
  </si>
  <si>
    <t>H30.12</t>
  </si>
  <si>
    <t>H31.1</t>
    <phoneticPr fontId="5"/>
  </si>
  <si>
    <t>H31.2</t>
  </si>
  <si>
    <t>H31.2</t>
    <phoneticPr fontId="5"/>
  </si>
  <si>
    <t>H31.3</t>
  </si>
  <si>
    <t>H31.3</t>
    <phoneticPr fontId="5"/>
  </si>
  <si>
    <t>H30年度(年間)</t>
    <rPh sb="3" eb="5">
      <t>ネンド</t>
    </rPh>
    <rPh sb="6" eb="8">
      <t>ネンカン</t>
    </rPh>
    <phoneticPr fontId="5"/>
  </si>
  <si>
    <t>対計画比(実績値／計画値)</t>
    <phoneticPr fontId="5"/>
  </si>
  <si>
    <t>H30年度(年間)</t>
    <phoneticPr fontId="5"/>
  </si>
  <si>
    <t>総括表詳細　H24～H29（利用者数）（青森県五戸町）</t>
    <phoneticPr fontId="5"/>
  </si>
  <si>
    <t>総括表詳細　H30（利用者数）（青森県五戸町）</t>
    <phoneticPr fontId="5"/>
  </si>
  <si>
    <t>実績値</t>
    <phoneticPr fontId="5"/>
  </si>
  <si>
    <t>総括表詳細　H24~H29（給付費）（青森県五戸町）</t>
    <phoneticPr fontId="5"/>
  </si>
  <si>
    <t>総括表詳細　H30（給付費）（青森県五戸町）</t>
    <phoneticPr fontId="5"/>
  </si>
  <si>
    <t>-</t>
    <phoneticPr fontId="5"/>
  </si>
  <si>
    <t>要介護認定者数（第1号被保険者）</t>
    <phoneticPr fontId="3"/>
  </si>
  <si>
    <t>要介護認定率（第1号被保険者）</t>
    <phoneticPr fontId="3"/>
  </si>
  <si>
    <t>被保険者数（第1号被保険者）</t>
    <phoneticPr fontId="3"/>
  </si>
  <si>
    <t>要介護認定者数（第2号被保険者）</t>
    <phoneticPr fontId="3"/>
  </si>
  <si>
    <t>設定なし</t>
    <rPh sb="0" eb="2">
      <t>セッテイ</t>
    </rPh>
    <phoneticPr fontId="5"/>
  </si>
  <si>
    <t>算出不可</t>
  </si>
  <si>
    <t>算出不可</t>
    <rPh sb="0" eb="2">
      <t>サンシュツ</t>
    </rPh>
    <rPh sb="2" eb="4">
      <t>フカ</t>
    </rPh>
    <phoneticPr fontId="5"/>
  </si>
  <si>
    <t>算出不可</t>
    <rPh sb="0" eb="2">
      <t>サンシュツ</t>
    </rPh>
    <rPh sb="2" eb="4">
      <t>フカ</t>
    </rPh>
    <phoneticPr fontId="5"/>
  </si>
  <si>
    <t>【実績値】厚生労働省「介護保険事業状況報告」年報（平成28,29年度のみ「介護保険事業状況報告」月報）
【計画値】五戸町介護保険事業計画</t>
    <phoneticPr fontId="5"/>
  </si>
  <si>
    <t>【実績値】厚生労働省「介護保険事業状況報告」月報
【計画値】五戸町介護保険事業計画</t>
    <phoneticPr fontId="5"/>
  </si>
  <si>
    <t>総括表　H30（青森県五戸町　日常生活圏域：町内全域）</t>
    <phoneticPr fontId="3"/>
  </si>
  <si>
    <t>受給者数</t>
    <rPh sb="0" eb="3">
      <t>ジュキュウシャ</t>
    </rPh>
    <rPh sb="3" eb="4">
      <t>スウ</t>
    </rPh>
    <phoneticPr fontId="3"/>
  </si>
  <si>
    <t>【実績値】厚生労働省「介護保険事業状況報告」月報、受給者数のみ「見える化システム」による数値
【計画値】五戸町介護保険事業計画　被保険者数（第1号被保険者）、要介護認定者数（第1号被保険者）及び要介護認定率（第1号被保険者）は平成30年9月末時点の推計値。給付費は年間合計の計画値。
※「第1号被保険者1人あたり給付費」は「総給付費」を「第1号被保険者数」で除して算出</t>
    <rPh sb="25" eb="28">
      <t>ジュキュウシャ</t>
    </rPh>
    <rPh sb="28" eb="29">
      <t>スウ</t>
    </rPh>
    <rPh sb="32" eb="33">
      <t>ミ</t>
    </rPh>
    <rPh sb="35" eb="36">
      <t>カ</t>
    </rPh>
    <rPh sb="44" eb="46">
      <t>スウチ</t>
    </rPh>
    <rPh sb="64" eb="68">
      <t>ヒホケンシャ</t>
    </rPh>
    <rPh sb="68" eb="69">
      <t>スウ</t>
    </rPh>
    <rPh sb="70" eb="71">
      <t>ダイ</t>
    </rPh>
    <rPh sb="72" eb="73">
      <t>ゴウ</t>
    </rPh>
    <rPh sb="73" eb="77">
      <t>ヒホケンシャ</t>
    </rPh>
    <rPh sb="79" eb="80">
      <t>ヨウ</t>
    </rPh>
    <rPh sb="80" eb="82">
      <t>カイゴ</t>
    </rPh>
    <rPh sb="82" eb="84">
      <t>ニンテイ</t>
    </rPh>
    <rPh sb="84" eb="85">
      <t>シャ</t>
    </rPh>
    <rPh sb="85" eb="86">
      <t>スウ</t>
    </rPh>
    <rPh sb="87" eb="88">
      <t>ダイ</t>
    </rPh>
    <rPh sb="89" eb="90">
      <t>ゴウ</t>
    </rPh>
    <rPh sb="90" eb="94">
      <t>ヒホケンシャ</t>
    </rPh>
    <rPh sb="95" eb="96">
      <t>オヨ</t>
    </rPh>
    <rPh sb="97" eb="98">
      <t>ヨウ</t>
    </rPh>
    <rPh sb="98" eb="100">
      <t>カイゴ</t>
    </rPh>
    <rPh sb="100" eb="102">
      <t>ニンテイ</t>
    </rPh>
    <rPh sb="102" eb="103">
      <t>リツ</t>
    </rPh>
    <rPh sb="104" eb="105">
      <t>ダイ</t>
    </rPh>
    <rPh sb="106" eb="107">
      <t>ゴウ</t>
    </rPh>
    <rPh sb="107" eb="111">
      <t>ヒホケンシャ</t>
    </rPh>
    <rPh sb="113" eb="115">
      <t>ヘイセイ</t>
    </rPh>
    <rPh sb="117" eb="118">
      <t>ネン</t>
    </rPh>
    <rPh sb="119" eb="120">
      <t>ガツ</t>
    </rPh>
    <rPh sb="120" eb="121">
      <t>マツ</t>
    </rPh>
    <rPh sb="121" eb="123">
      <t>ジテン</t>
    </rPh>
    <rPh sb="124" eb="126">
      <t>スイケイ</t>
    </rPh>
    <rPh sb="126" eb="127">
      <t>チ</t>
    </rPh>
    <phoneticPr fontId="5"/>
  </si>
  <si>
    <t>【実績値】国保連請求実績（福祉用具購入及び住宅改修費は町償還払実績）
【計画値】五戸町介護保険事業計画</t>
    <rPh sb="5" eb="8">
      <t>コクホレン</t>
    </rPh>
    <rPh sb="8" eb="10">
      <t>セイキュウ</t>
    </rPh>
    <rPh sb="10" eb="12">
      <t>ジッセキ</t>
    </rPh>
    <rPh sb="13" eb="15">
      <t>フクシ</t>
    </rPh>
    <rPh sb="15" eb="17">
      <t>ヨウグ</t>
    </rPh>
    <rPh sb="17" eb="19">
      <t>コウニュウ</t>
    </rPh>
    <rPh sb="19" eb="20">
      <t>オヨ</t>
    </rPh>
    <rPh sb="21" eb="23">
      <t>ジュウタク</t>
    </rPh>
    <rPh sb="23" eb="25">
      <t>カイシュウ</t>
    </rPh>
    <rPh sb="25" eb="26">
      <t>ヒ</t>
    </rPh>
    <rPh sb="27" eb="28">
      <t>マチ</t>
    </rPh>
    <rPh sb="28" eb="30">
      <t>ショウカン</t>
    </rPh>
    <rPh sb="30" eb="31">
      <t>バライ</t>
    </rPh>
    <rPh sb="31" eb="33">
      <t>ジッセキ</t>
    </rPh>
    <phoneticPr fontId="5"/>
  </si>
  <si>
    <t>合計</t>
    <rPh sb="0" eb="2">
      <t>ゴウケイ</t>
    </rPh>
    <phoneticPr fontId="5"/>
  </si>
  <si>
    <t>%</t>
    <phoneticPr fontId="5"/>
  </si>
  <si>
    <t>実績/計画＝</t>
    <rPh sb="0" eb="2">
      <t>ジッセキ</t>
    </rPh>
    <rPh sb="3" eb="5">
      <t>ケイカク</t>
    </rPh>
    <phoneticPr fontId="5"/>
  </si>
  <si>
    <t>H29.4</t>
    <phoneticPr fontId="5"/>
  </si>
  <si>
    <t>H29.5</t>
  </si>
  <si>
    <t>H29.6</t>
  </si>
  <si>
    <t>H29.7</t>
  </si>
  <si>
    <t>H29.8</t>
  </si>
  <si>
    <t>H29.9</t>
  </si>
  <si>
    <t>H29.10</t>
  </si>
  <si>
    <t>H29.11</t>
  </si>
  <si>
    <t>H29.12</t>
  </si>
  <si>
    <t>H30.1</t>
    <phoneticPr fontId="5"/>
  </si>
  <si>
    <t>H30.2</t>
    <phoneticPr fontId="5"/>
  </si>
  <si>
    <t>H30.3</t>
    <phoneticPr fontId="5"/>
  </si>
  <si>
    <t>H29年度(年間)</t>
    <rPh sb="3" eb="5">
      <t>ネンド</t>
    </rPh>
    <rPh sb="6" eb="8">
      <t>ネンカン</t>
    </rPh>
    <phoneticPr fontId="5"/>
  </si>
  <si>
    <t>総括表詳細　H29（給付費）（青森県五戸町）</t>
    <phoneticPr fontId="5"/>
  </si>
  <si>
    <t>H31.4</t>
    <phoneticPr fontId="5"/>
  </si>
  <si>
    <t>R1.5</t>
    <phoneticPr fontId="5"/>
  </si>
  <si>
    <t>R1.6</t>
  </si>
  <si>
    <t>R1.7</t>
  </si>
  <si>
    <t>R1.8</t>
  </si>
  <si>
    <t>R1.9</t>
  </si>
  <si>
    <t>R1.10</t>
  </si>
  <si>
    <t>R1.11</t>
  </si>
  <si>
    <t>R1.12</t>
  </si>
  <si>
    <t>R2.1</t>
    <phoneticPr fontId="5"/>
  </si>
  <si>
    <t>R2.2</t>
  </si>
  <si>
    <t>R2.3</t>
  </si>
  <si>
    <t>R1年度(年間)</t>
    <rPh sb="2" eb="4">
      <t>ネンド</t>
    </rPh>
    <rPh sb="5" eb="7">
      <t>ネンカン</t>
    </rPh>
    <phoneticPr fontId="5"/>
  </si>
  <si>
    <t>総括表詳細　Ｒ１（給付費）（青森県五戸町）</t>
    <phoneticPr fontId="5"/>
  </si>
  <si>
    <t>総括表詳細　Ｒ１（利用者数）（青森県五戸町）</t>
    <phoneticPr fontId="5"/>
  </si>
  <si>
    <t>R2.2</t>
    <phoneticPr fontId="5"/>
  </si>
  <si>
    <t>R2.3</t>
    <phoneticPr fontId="5"/>
  </si>
  <si>
    <t>総括表　R1（青森県五戸町　日常生活圏域：町内全域）</t>
    <phoneticPr fontId="3"/>
  </si>
  <si>
    <t>R1年度(年間)</t>
    <rPh sb="2" eb="3">
      <t>ネン</t>
    </rPh>
    <rPh sb="3" eb="4">
      <t>ド</t>
    </rPh>
    <rPh sb="5" eb="7">
      <t>ネンカン</t>
    </rPh>
    <phoneticPr fontId="5"/>
  </si>
  <si>
    <t>短期入所療養介護</t>
    <phoneticPr fontId="5"/>
  </si>
  <si>
    <t>短期入所療養介護</t>
    <phoneticPr fontId="5"/>
  </si>
  <si>
    <t>H31年度(年間)</t>
    <rPh sb="3" eb="5">
      <t>ネンド</t>
    </rPh>
    <rPh sb="6" eb="8">
      <t>ネンカン</t>
    </rPh>
    <phoneticPr fontId="5"/>
  </si>
  <si>
    <t>令和元年度(年間)</t>
    <rPh sb="0" eb="2">
      <t>レイワ</t>
    </rPh>
    <rPh sb="2" eb="3">
      <t>ガン</t>
    </rPh>
    <phoneticPr fontId="5"/>
  </si>
  <si>
    <t>訪問介護</t>
    <phoneticPr fontId="5"/>
  </si>
  <si>
    <t>在宅サービス</t>
    <phoneticPr fontId="5"/>
  </si>
  <si>
    <t>要支援１</t>
  </si>
  <si>
    <t>要介護３</t>
  </si>
  <si>
    <t>中重度者</t>
    <rPh sb="0" eb="1">
      <t>チュウ</t>
    </rPh>
    <rPh sb="1" eb="3">
      <t>ジュウド</t>
    </rPh>
    <rPh sb="3" eb="4">
      <t>シャ</t>
    </rPh>
    <phoneticPr fontId="5"/>
  </si>
  <si>
    <t>要介護４</t>
    <phoneticPr fontId="5"/>
  </si>
  <si>
    <t>要介護５</t>
    <phoneticPr fontId="5"/>
  </si>
  <si>
    <t>要支援２</t>
    <phoneticPr fontId="5"/>
  </si>
  <si>
    <t>要介護１</t>
    <phoneticPr fontId="5"/>
  </si>
  <si>
    <t>要介護２</t>
    <phoneticPr fontId="5"/>
  </si>
  <si>
    <t>軽度者</t>
    <rPh sb="0" eb="3">
      <t>ケイドシャ</t>
    </rPh>
    <phoneticPr fontId="5"/>
  </si>
  <si>
    <t>軽度者</t>
    <rPh sb="0" eb="3">
      <t>ケイドシャ</t>
    </rPh>
    <phoneticPr fontId="5"/>
  </si>
  <si>
    <t>要支援１</t>
    <rPh sb="0" eb="3">
      <t>ヨウシエン</t>
    </rPh>
    <phoneticPr fontId="5"/>
  </si>
  <si>
    <t>要支援２</t>
    <rPh sb="0" eb="3">
      <t>ヨウシエン</t>
    </rPh>
    <phoneticPr fontId="5"/>
  </si>
  <si>
    <t>要介護１</t>
    <rPh sb="0" eb="1">
      <t>ヨウ</t>
    </rPh>
    <rPh sb="1" eb="3">
      <t>カイゴ</t>
    </rPh>
    <phoneticPr fontId="5"/>
  </si>
  <si>
    <t>要介護２</t>
    <rPh sb="0" eb="1">
      <t>ヨウ</t>
    </rPh>
    <rPh sb="1" eb="3">
      <t>カイゴ</t>
    </rPh>
    <phoneticPr fontId="5"/>
  </si>
  <si>
    <t>中重度者</t>
    <rPh sb="0" eb="1">
      <t>チュウ</t>
    </rPh>
    <rPh sb="1" eb="3">
      <t>ジュウド</t>
    </rPh>
    <rPh sb="3" eb="4">
      <t>シャ</t>
    </rPh>
    <phoneticPr fontId="5"/>
  </si>
  <si>
    <t>要介護３</t>
    <rPh sb="0" eb="1">
      <t>ヨウ</t>
    </rPh>
    <rPh sb="1" eb="3">
      <t>カイゴ</t>
    </rPh>
    <phoneticPr fontId="5"/>
  </si>
  <si>
    <t>要介護４</t>
    <rPh sb="0" eb="1">
      <t>ヨウ</t>
    </rPh>
    <rPh sb="1" eb="3">
      <t>カイゴ</t>
    </rPh>
    <phoneticPr fontId="5"/>
  </si>
  <si>
    <t>要介護５</t>
    <rPh sb="0" eb="1">
      <t>ヨウ</t>
    </rPh>
    <rPh sb="1" eb="3">
      <t>カイゴ</t>
    </rPh>
    <phoneticPr fontId="5"/>
  </si>
  <si>
    <t>在宅サービス</t>
    <phoneticPr fontId="5"/>
  </si>
  <si>
    <t>小計</t>
    <rPh sb="0" eb="2">
      <t>ショウケイ</t>
    </rPh>
    <phoneticPr fontId="5"/>
  </si>
  <si>
    <t>（人）</t>
    <phoneticPr fontId="5"/>
  </si>
  <si>
    <t>※居宅介護支援・予防支援除く</t>
    <rPh sb="1" eb="3">
      <t>キョタク</t>
    </rPh>
    <rPh sb="3" eb="5">
      <t>カイゴ</t>
    </rPh>
    <rPh sb="5" eb="7">
      <t>シエン</t>
    </rPh>
    <rPh sb="8" eb="10">
      <t>ヨボウ</t>
    </rPh>
    <rPh sb="10" eb="12">
      <t>シエン</t>
    </rPh>
    <rPh sb="12" eb="13">
      <t>ノゾ</t>
    </rPh>
    <phoneticPr fontId="5"/>
  </si>
  <si>
    <t>%</t>
    <phoneticPr fontId="5"/>
  </si>
  <si>
    <t>第1号被保険者1人あたり給付月額</t>
    <rPh sb="0" eb="1">
      <t>ダイ</t>
    </rPh>
    <rPh sb="2" eb="3">
      <t>ゴウ</t>
    </rPh>
    <rPh sb="3" eb="7">
      <t>ヒホケンシャ</t>
    </rPh>
    <rPh sb="14" eb="16">
      <t>ゲツガク</t>
    </rPh>
    <phoneticPr fontId="3"/>
  </si>
  <si>
    <t>要介護認定者1人あたり給付月額</t>
    <rPh sb="0" eb="1">
      <t>ヨウ</t>
    </rPh>
    <rPh sb="1" eb="3">
      <t>カイゴ</t>
    </rPh>
    <rPh sb="3" eb="5">
      <t>ニンテイ</t>
    </rPh>
    <rPh sb="5" eb="6">
      <t>シャ</t>
    </rPh>
    <rPh sb="13" eb="14">
      <t>ゲツ</t>
    </rPh>
    <rPh sb="14" eb="15">
      <t>ガク</t>
    </rPh>
    <phoneticPr fontId="3"/>
  </si>
  <si>
    <t>第1号被保険者1人あたり給付月額</t>
    <rPh sb="14" eb="16">
      <t>ゲツガク</t>
    </rPh>
    <phoneticPr fontId="3"/>
  </si>
  <si>
    <t>要介護認定者1人あたり給付月額</t>
    <rPh sb="0" eb="1">
      <t>ヨウ</t>
    </rPh>
    <rPh sb="1" eb="3">
      <t>カイゴ</t>
    </rPh>
    <rPh sb="3" eb="5">
      <t>ニンテイ</t>
    </rPh>
    <rPh sb="5" eb="6">
      <t>シャ</t>
    </rPh>
    <rPh sb="13" eb="15">
      <t>ゲツガク</t>
    </rPh>
    <phoneticPr fontId="3"/>
  </si>
  <si>
    <t>第1号被保険者1人あたり給付月額</t>
    <rPh sb="14" eb="15">
      <t>ゲツ</t>
    </rPh>
    <rPh sb="15" eb="16">
      <t>ガク</t>
    </rPh>
    <phoneticPr fontId="3"/>
  </si>
  <si>
    <t>要介護認定者1人あたり給付月費</t>
    <rPh sb="0" eb="1">
      <t>ヨウ</t>
    </rPh>
    <rPh sb="1" eb="3">
      <t>カイゴ</t>
    </rPh>
    <rPh sb="3" eb="5">
      <t>ニンテイ</t>
    </rPh>
    <rPh sb="5" eb="6">
      <t>シャ</t>
    </rPh>
    <rPh sb="13" eb="14">
      <t>ゲツ</t>
    </rPh>
    <phoneticPr fontId="3"/>
  </si>
  <si>
    <t>（人）</t>
    <rPh sb="1" eb="2">
      <t>ニン</t>
    </rPh>
    <phoneticPr fontId="5"/>
  </si>
  <si>
    <t>人口</t>
    <rPh sb="0" eb="2">
      <t>ジンコウ</t>
    </rPh>
    <phoneticPr fontId="5"/>
  </si>
  <si>
    <t>高齢化率</t>
    <rPh sb="0" eb="3">
      <t>コウレイカ</t>
    </rPh>
    <rPh sb="3" eb="4">
      <t>リツ</t>
    </rPh>
    <phoneticPr fontId="5"/>
  </si>
  <si>
    <t>（%）</t>
    <phoneticPr fontId="5"/>
  </si>
  <si>
    <t>事業対象者</t>
    <rPh sb="0" eb="2">
      <t>ジギョウ</t>
    </rPh>
    <rPh sb="2" eb="4">
      <t>タイショウ</t>
    </rPh>
    <rPh sb="4" eb="5">
      <t>シャ</t>
    </rPh>
    <phoneticPr fontId="5"/>
  </si>
  <si>
    <t>設定なし</t>
    <rPh sb="0" eb="2">
      <t>セッテイ</t>
    </rPh>
    <phoneticPr fontId="5"/>
  </si>
  <si>
    <t>令和2年度(年間)</t>
    <rPh sb="0" eb="2">
      <t>レイワ</t>
    </rPh>
    <phoneticPr fontId="5"/>
  </si>
  <si>
    <t>R2年度(年間)</t>
    <rPh sb="2" eb="4">
      <t>ネンド</t>
    </rPh>
    <rPh sb="5" eb="7">
      <t>ネンカン</t>
    </rPh>
    <phoneticPr fontId="5"/>
  </si>
  <si>
    <t>R3.3</t>
    <phoneticPr fontId="5"/>
  </si>
  <si>
    <t>R3.2</t>
    <phoneticPr fontId="5"/>
  </si>
  <si>
    <t>R3.1</t>
    <phoneticPr fontId="5"/>
  </si>
  <si>
    <t>R2.12</t>
  </si>
  <si>
    <t>R2.11</t>
  </si>
  <si>
    <t>R2.10</t>
  </si>
  <si>
    <t>R2.9</t>
  </si>
  <si>
    <t>R2.8</t>
  </si>
  <si>
    <t>R2.7</t>
  </si>
  <si>
    <t>R2.6</t>
    <phoneticPr fontId="5"/>
  </si>
  <si>
    <t>R2.5</t>
    <phoneticPr fontId="5"/>
  </si>
  <si>
    <t>R2.4</t>
    <phoneticPr fontId="5"/>
  </si>
  <si>
    <t>総括表　R２（青森県五戸町　日常生活圏域：町内全域）</t>
    <phoneticPr fontId="3"/>
  </si>
  <si>
    <t>総括表詳細　Ｒ２（利用者数）（青森県五戸町）</t>
    <phoneticPr fontId="5"/>
  </si>
  <si>
    <t>令和２年度(年間)</t>
    <rPh sb="0" eb="2">
      <t>レイワ</t>
    </rPh>
    <phoneticPr fontId="5"/>
  </si>
  <si>
    <t>総括表詳細　Ｒ２（給付費）（青森県五戸町）</t>
    <phoneticPr fontId="5"/>
  </si>
  <si>
    <t>【実績値】厚生労働省「介護保険事業状況報告」月報、受給者数のみ「見える化システム」による数値。
【計画値】五戸町介護保険事業計画　被保険者数（第1号被保険者）、要介護認定者数（第1号被保険者及び第2号被保険者）及び要介護認定率（第1号被保険者）は令和元年9月末時点の推計値。給付費は年間合計。
　※「第1号被保険者1人あたり給付費」は「総給付費」を「第1号被保険者数」で除して算出</t>
    <rPh sb="25" eb="28">
      <t>ジュキュウシャ</t>
    </rPh>
    <rPh sb="28" eb="29">
      <t>スウ</t>
    </rPh>
    <rPh sb="32" eb="33">
      <t>ミ</t>
    </rPh>
    <rPh sb="35" eb="36">
      <t>カ</t>
    </rPh>
    <rPh sb="44" eb="46">
      <t>スウチ</t>
    </rPh>
    <rPh sb="49" eb="51">
      <t>ケイカク</t>
    </rPh>
    <rPh sb="51" eb="52">
      <t>チ</t>
    </rPh>
    <rPh sb="53" eb="56">
      <t>ゴノヘマチ</t>
    </rPh>
    <rPh sb="56" eb="58">
      <t>カイゴ</t>
    </rPh>
    <rPh sb="58" eb="60">
      <t>ホケン</t>
    </rPh>
    <rPh sb="60" eb="62">
      <t>ジギョウ</t>
    </rPh>
    <rPh sb="62" eb="64">
      <t>ケイカク</t>
    </rPh>
    <rPh sb="95" eb="96">
      <t>オヨ</t>
    </rPh>
    <rPh sb="97" eb="98">
      <t>ダイ</t>
    </rPh>
    <rPh sb="99" eb="100">
      <t>ゴウ</t>
    </rPh>
    <rPh sb="100" eb="104">
      <t>ヒホケンシャ</t>
    </rPh>
    <phoneticPr fontId="5"/>
  </si>
  <si>
    <t>介護療養型医療施設</t>
    <phoneticPr fontId="5"/>
  </si>
  <si>
    <t>介護医療院</t>
    <rPh sb="0" eb="2">
      <t>カイゴ</t>
    </rPh>
    <rPh sb="2" eb="4">
      <t>イリョウ</t>
    </rPh>
    <rPh sb="4" eb="5">
      <t>イン</t>
    </rPh>
    <phoneticPr fontId="5"/>
  </si>
  <si>
    <t>（円）</t>
    <rPh sb="1" eb="2">
      <t>エン</t>
    </rPh>
    <phoneticPr fontId="3"/>
  </si>
  <si>
    <t>-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</si>
</sst>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&quot;%&quot;"/>
    <numFmt numFmtId="177" formatCode="#,##0_);[Red]\(#,##0\)"/>
    <numFmt numFmtId="178" formatCode="#,##0.0_);[Red]\(#,##0.0\)"/>
    <numFmt numFmtId="179" formatCode="#,##0.00_);[Red]\(#,##0.00\)"/>
    <numFmt numFmtId="180" formatCode="#,##0;&quot;△ &quot;#,##0"/>
    <numFmt numFmtId="181" formatCode="#,##0.0;&quot;△ &quot;#,##0.0"/>
    <numFmt numFmtId="182" formatCode="0.0;&quot;△ &quot;0.0"/>
    <numFmt numFmtId="183" formatCode="#,##0_ "/>
    <numFmt numFmtId="184" formatCode="0_);[Red]\(0\)"/>
  </numFmts>
  <fonts count="925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2"/>
      <color theme="1"/>
      <name val="メイリオ"/>
      <family val="3"/>
      <charset val="128"/>
    </font>
    <font>
      <sz val="9"/>
      <color theme="1"/>
      <name val="メイリオ"/>
      <family val="3"/>
      <charset val="128"/>
    </font>
    <font>
      <sz val="9"/>
      <name val="メイリオ"/>
      <family val="3"/>
      <charset val="128"/>
    </font>
    <font>
      <b/>
      <sz val="9"/>
      <color theme="1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10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12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8"/>
      <color indexed="8"/>
      <name val="メイリオ"/>
      <family val="3"/>
      <charset val="128"/>
    </font>
    <font>
      <sz val="8"/>
      <color indexed="12"/>
      <name val="メイリオ"/>
      <family val="3"/>
      <charset val="128"/>
    </font>
    <font>
      <sz val="8"/>
      <color indexed="10"/>
      <name val="メイリオ"/>
      <family val="3"/>
      <charset val="128"/>
    </font>
    <font>
      <sz val="8"/>
      <color theme="1"/>
      <name val="メイリオ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8"/>
      <name val="メイリオ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8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 diagonalDown="1"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>
      <alignment vertical="center"/>
    </xf>
    <xf numFmtId="0" fontId="2" fillId="0" borderId="0"/>
  </cellStyleXfs>
  <cellXfs count="1344">
    <xf numFmtId="0" fontId="0" fillId="0" borderId="0" xfId="0"/>
    <xf numFmtId="0" fontId="4" fillId="3" borderId="0" xfId="0" applyFont="1" applyFill="1"/>
    <xf numFmtId="0" fontId="6" fillId="3" borderId="0" xfId="0" applyFont="1" applyFill="1"/>
    <xf numFmtId="0" fontId="7" fillId="3" borderId="0" xfId="0" applyFont="1" applyFill="1"/>
    <xf numFmtId="0" fontId="8" fillId="3" borderId="2" xfId="1" applyFont="1" applyFill="1" applyBorder="1" applyAlignment="1">
      <alignment horizontal="left" vertical="center"/>
    </xf>
    <xf numFmtId="0" fontId="8" fillId="3" borderId="3" xfId="1" applyFont="1" applyFill="1" applyBorder="1" applyAlignment="1">
      <alignment horizontal="left" vertical="center"/>
    </xf>
    <xf numFmtId="0" fontId="8" fillId="2" borderId="5" xfId="1" applyFont="1" applyFill="1" applyBorder="1" applyAlignment="1">
      <alignment horizontal="left" vertical="center"/>
    </xf>
    <xf numFmtId="0" fontId="8" fillId="2" borderId="6" xfId="1" applyFont="1" applyFill="1" applyBorder="1" applyAlignment="1">
      <alignment horizontal="left" vertical="center"/>
    </xf>
    <xf numFmtId="0" fontId="8" fillId="2" borderId="0" xfId="1" applyFont="1" applyFill="1" applyBorder="1" applyAlignment="1">
      <alignment horizontal="left" vertical="center"/>
    </xf>
    <xf numFmtId="0" fontId="8" fillId="2" borderId="7" xfId="1" applyFont="1" applyFill="1" applyBorder="1" applyAlignment="1">
      <alignment horizontal="left" vertical="center"/>
    </xf>
    <xf numFmtId="0" fontId="7" fillId="3" borderId="22" xfId="0" applyFont="1" applyFill="1" applyBorder="1"/>
    <xf numFmtId="0" fontId="7" fillId="3" borderId="23" xfId="0" applyFont="1" applyFill="1" applyBorder="1"/>
    <xf numFmtId="0" fontId="8" fillId="3" borderId="26" xfId="1" applyFont="1" applyFill="1" applyBorder="1" applyAlignment="1">
      <alignment horizontal="left" vertical="center"/>
    </xf>
    <xf numFmtId="0" fontId="8" fillId="3" borderId="17" xfId="1" applyFont="1" applyFill="1" applyBorder="1" applyAlignment="1">
      <alignment horizontal="left" vertical="center"/>
    </xf>
    <xf numFmtId="0" fontId="8" fillId="3" borderId="27" xfId="1" applyFont="1" applyFill="1" applyBorder="1" applyAlignment="1">
      <alignment horizontal="left" vertical="center"/>
    </xf>
    <xf numFmtId="0" fontId="8" fillId="3" borderId="15" xfId="1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5" xfId="0" applyFont="1" applyFill="1" applyBorder="1"/>
    <xf numFmtId="0" fontId="7" fillId="3" borderId="14" xfId="0" applyFont="1" applyFill="1" applyBorder="1"/>
    <xf numFmtId="0" fontId="7" fillId="3" borderId="33" xfId="1" applyFont="1" applyFill="1" applyBorder="1" applyAlignment="1">
      <alignment vertical="center"/>
    </xf>
    <xf numFmtId="0" fontId="7" fillId="3" borderId="34" xfId="1" applyFont="1" applyFill="1" applyBorder="1" applyAlignment="1">
      <alignment vertical="center"/>
    </xf>
    <xf numFmtId="0" fontId="7" fillId="3" borderId="33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0" fontId="7" fillId="3" borderId="27" xfId="1" applyFont="1" applyFill="1" applyBorder="1" applyAlignment="1">
      <alignment vertical="center"/>
    </xf>
    <xf numFmtId="0" fontId="7" fillId="3" borderId="0" xfId="1" applyFont="1" applyFill="1" applyBorder="1" applyAlignment="1">
      <alignment vertical="center"/>
    </xf>
    <xf numFmtId="0" fontId="7" fillId="3" borderId="35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 vertical="center"/>
    </xf>
    <xf numFmtId="0" fontId="7" fillId="3" borderId="36" xfId="0" applyFont="1" applyFill="1" applyBorder="1" applyAlignment="1">
      <alignment horizontal="center"/>
    </xf>
    <xf numFmtId="0" fontId="8" fillId="3" borderId="37" xfId="1" applyFont="1" applyFill="1" applyBorder="1" applyAlignment="1">
      <alignment horizontal="left" vertical="center"/>
    </xf>
    <xf numFmtId="0" fontId="8" fillId="2" borderId="27" xfId="1" applyFont="1" applyFill="1" applyBorder="1" applyAlignment="1">
      <alignment horizontal="left" vertical="center"/>
    </xf>
    <xf numFmtId="0" fontId="8" fillId="2" borderId="13" xfId="1" applyFont="1" applyFill="1" applyBorder="1" applyAlignment="1">
      <alignment horizontal="left" vertical="center"/>
    </xf>
    <xf numFmtId="0" fontId="8" fillId="2" borderId="39" xfId="1" applyFont="1" applyFill="1" applyBorder="1" applyAlignment="1">
      <alignment horizontal="left" vertical="center"/>
    </xf>
    <xf numFmtId="0" fontId="8" fillId="2" borderId="40" xfId="1" applyFont="1" applyFill="1" applyBorder="1" applyAlignment="1">
      <alignment horizontal="left" vertical="center"/>
    </xf>
    <xf numFmtId="0" fontId="8" fillId="2" borderId="41" xfId="1" applyFont="1" applyFill="1" applyBorder="1" applyAlignment="1">
      <alignment horizontal="left" vertical="center"/>
    </xf>
    <xf numFmtId="0" fontId="8" fillId="3" borderId="42" xfId="1" applyFont="1" applyFill="1" applyBorder="1" applyAlignment="1">
      <alignment horizontal="left" vertical="center"/>
    </xf>
    <xf numFmtId="0" fontId="8" fillId="3" borderId="29" xfId="1" applyFont="1" applyFill="1" applyBorder="1" applyAlignment="1">
      <alignment horizontal="left" vertical="center"/>
    </xf>
    <xf numFmtId="0" fontId="8" fillId="3" borderId="5" xfId="1" applyFont="1" applyFill="1" applyBorder="1" applyAlignment="1">
      <alignment horizontal="left" vertical="center"/>
    </xf>
    <xf numFmtId="0" fontId="8" fillId="3" borderId="9" xfId="1" applyFont="1" applyFill="1" applyBorder="1" applyAlignment="1">
      <alignment horizontal="left" vertical="center"/>
    </xf>
    <xf numFmtId="0" fontId="8" fillId="3" borderId="0" xfId="1" applyFont="1" applyFill="1" applyBorder="1" applyAlignment="1">
      <alignment horizontal="left" vertical="center"/>
    </xf>
    <xf numFmtId="0" fontId="8" fillId="3" borderId="13" xfId="1" applyFont="1" applyFill="1" applyBorder="1" applyAlignment="1">
      <alignment horizontal="left" vertical="center"/>
    </xf>
    <xf numFmtId="0" fontId="8" fillId="3" borderId="39" xfId="1" applyFont="1" applyFill="1" applyBorder="1" applyAlignment="1">
      <alignment horizontal="left" vertical="center"/>
    </xf>
    <xf numFmtId="0" fontId="8" fillId="3" borderId="40" xfId="1" applyFont="1" applyFill="1" applyBorder="1" applyAlignment="1">
      <alignment horizontal="left" vertical="center"/>
    </xf>
    <xf numFmtId="0" fontId="8" fillId="3" borderId="28" xfId="1" applyFont="1" applyFill="1" applyBorder="1" applyAlignment="1">
      <alignment horizontal="left" vertical="center"/>
    </xf>
    <xf numFmtId="0" fontId="8" fillId="3" borderId="29" xfId="1" applyFont="1" applyFill="1" applyBorder="1" applyAlignment="1">
      <alignment horizontal="left" vertical="center"/>
    </xf>
    <xf numFmtId="0" fontId="8" fillId="3" borderId="30" xfId="1" applyFont="1" applyFill="1" applyBorder="1" applyAlignment="1">
      <alignment horizontal="left" vertical="center"/>
    </xf>
    <xf numFmtId="0" fontId="8" fillId="3" borderId="5" xfId="1" applyFont="1" applyFill="1" applyBorder="1" applyAlignment="1">
      <alignment horizontal="left" vertical="center" wrapText="1"/>
    </xf>
    <xf numFmtId="0" fontId="8" fillId="3" borderId="14" xfId="1" applyFont="1" applyFill="1" applyBorder="1" applyAlignment="1">
      <alignment horizontal="left" vertical="center" wrapText="1"/>
    </xf>
    <xf numFmtId="0" fontId="8" fillId="3" borderId="3" xfId="1" applyFont="1" applyFill="1" applyBorder="1" applyAlignment="1">
      <alignment horizontal="left" vertical="center" wrapText="1"/>
    </xf>
    <xf numFmtId="0" fontId="8" fillId="3" borderId="17" xfId="1" applyFont="1" applyFill="1" applyBorder="1" applyAlignment="1">
      <alignment horizontal="left" vertical="center" wrapText="1"/>
    </xf>
    <xf numFmtId="0" fontId="8" fillId="3" borderId="4" xfId="1" applyFont="1" applyFill="1" applyBorder="1" applyAlignment="1">
      <alignment horizontal="left" vertical="center"/>
    </xf>
    <xf numFmtId="0" fontId="8" fillId="3" borderId="14" xfId="1" applyFont="1" applyFill="1" applyBorder="1" applyAlignment="1">
      <alignment horizontal="left" vertical="center"/>
    </xf>
    <xf numFmtId="0" fontId="8" fillId="3" borderId="44" xfId="1" applyFont="1" applyFill="1" applyBorder="1" applyAlignment="1">
      <alignment horizontal="left" vertical="center"/>
    </xf>
    <xf numFmtId="0" fontId="8" fillId="3" borderId="45" xfId="1" applyFont="1" applyFill="1" applyBorder="1" applyAlignment="1">
      <alignment horizontal="left" vertical="center"/>
    </xf>
    <xf numFmtId="0" fontId="8" fillId="4" borderId="2" xfId="1" applyFont="1" applyFill="1" applyBorder="1" applyAlignment="1">
      <alignment horizontal="left" vertical="center"/>
    </xf>
    <xf numFmtId="0" fontId="8" fillId="4" borderId="3" xfId="1" applyFont="1" applyFill="1" applyBorder="1" applyAlignment="1">
      <alignment horizontal="left" vertical="center"/>
    </xf>
    <xf numFmtId="0" fontId="8" fillId="4" borderId="38" xfId="1" applyFont="1" applyFill="1" applyBorder="1" applyAlignment="1">
      <alignment horizontal="left" vertical="center"/>
    </xf>
    <xf numFmtId="0" fontId="8" fillId="4" borderId="17" xfId="1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/>
    </xf>
    <xf numFmtId="176" fontId="16" fillId="3" borderId="0" xfId="3" applyNumberFormat="1" applyFont="1" applyFill="1" applyBorder="1" applyAlignment="1" applyProtection="1">
      <alignment horizontal="right" vertical="center" shrinkToFit="1"/>
      <protection locked="0"/>
    </xf>
    <xf numFmtId="176" fontId="17" fillId="3" borderId="0" xfId="1" applyNumberFormat="1" applyFont="1" applyFill="1" applyBorder="1" applyAlignment="1" applyProtection="1">
      <alignment horizontal="right" vertical="center" shrinkToFit="1"/>
      <protection locked="0"/>
    </xf>
    <xf numFmtId="176" fontId="18" fillId="3" borderId="0" xfId="1" applyNumberFormat="1" applyFont="1" applyFill="1" applyBorder="1" applyAlignment="1" applyProtection="1">
      <alignment horizontal="right" vertical="center" shrinkToFit="1"/>
      <protection locked="0"/>
    </xf>
    <xf numFmtId="176" fontId="19" fillId="3" borderId="0" xfId="1" applyNumberFormat="1" applyFont="1" applyFill="1" applyBorder="1" applyAlignment="1" applyProtection="1">
      <alignment horizontal="right" vertical="center" shrinkToFit="1"/>
      <protection locked="0"/>
    </xf>
    <xf numFmtId="176" fontId="26" fillId="3" borderId="0" xfId="3" applyNumberFormat="1" applyFont="1" applyFill="1" applyBorder="1" applyAlignment="1" applyProtection="1">
      <alignment horizontal="right" vertical="center" shrinkToFit="1"/>
      <protection locked="0"/>
    </xf>
    <xf numFmtId="176" fontId="27" fillId="3" borderId="0" xfId="1" applyNumberFormat="1" applyFont="1" applyFill="1" applyBorder="1" applyAlignment="1" applyProtection="1">
      <alignment horizontal="right" vertical="center" shrinkToFit="1"/>
      <protection locked="0"/>
    </xf>
    <xf numFmtId="176" fontId="28" fillId="3" borderId="0" xfId="1" applyNumberFormat="1" applyFont="1" applyFill="1" applyBorder="1" applyAlignment="1" applyProtection="1">
      <alignment horizontal="right" vertical="center" shrinkToFit="1"/>
      <protection locked="0"/>
    </xf>
    <xf numFmtId="176" fontId="29" fillId="3" borderId="0" xfId="1" applyNumberFormat="1" applyFont="1" applyFill="1" applyBorder="1" applyAlignment="1" applyProtection="1">
      <alignment horizontal="right" vertical="center" shrinkToFit="1"/>
      <protection locked="0"/>
    </xf>
    <xf numFmtId="176" fontId="36" fillId="3" borderId="0" xfId="3" applyNumberFormat="1" applyFont="1" applyFill="1" applyBorder="1" applyAlignment="1" applyProtection="1">
      <alignment horizontal="right" vertical="center" shrinkToFit="1"/>
      <protection locked="0"/>
    </xf>
    <xf numFmtId="176" fontId="37" fillId="3" borderId="0" xfId="1" applyNumberFormat="1" applyFont="1" applyFill="1" applyBorder="1" applyAlignment="1" applyProtection="1">
      <alignment horizontal="right" vertical="center" shrinkToFit="1"/>
      <protection locked="0"/>
    </xf>
    <xf numFmtId="176" fontId="38" fillId="3" borderId="0" xfId="1" applyNumberFormat="1" applyFont="1" applyFill="1" applyBorder="1" applyAlignment="1" applyProtection="1">
      <alignment horizontal="right" vertical="center" shrinkToFit="1"/>
      <protection locked="0"/>
    </xf>
    <xf numFmtId="176" fontId="39" fillId="3" borderId="0" xfId="1" applyNumberFormat="1" applyFont="1" applyFill="1" applyBorder="1" applyAlignment="1" applyProtection="1">
      <alignment horizontal="right" vertical="center" shrinkToFit="1"/>
      <protection locked="0"/>
    </xf>
    <xf numFmtId="176" fontId="46" fillId="3" borderId="0" xfId="3" applyNumberFormat="1" applyFont="1" applyFill="1" applyBorder="1" applyAlignment="1" applyProtection="1">
      <alignment horizontal="right" vertical="center" shrinkToFit="1"/>
      <protection locked="0"/>
    </xf>
    <xf numFmtId="176" fontId="47" fillId="3" borderId="0" xfId="1" applyNumberFormat="1" applyFont="1" applyFill="1" applyBorder="1" applyAlignment="1" applyProtection="1">
      <alignment horizontal="right" vertical="center" shrinkToFit="1"/>
      <protection locked="0"/>
    </xf>
    <xf numFmtId="176" fontId="48" fillId="3" borderId="0" xfId="1" applyNumberFormat="1" applyFont="1" applyFill="1" applyBorder="1" applyAlignment="1" applyProtection="1">
      <alignment horizontal="right" vertical="center" shrinkToFit="1"/>
      <protection locked="0"/>
    </xf>
    <xf numFmtId="176" fontId="49" fillId="3" borderId="0" xfId="1" applyNumberFormat="1" applyFont="1" applyFill="1" applyBorder="1" applyAlignment="1" applyProtection="1">
      <alignment horizontal="right" vertical="center" shrinkToFit="1"/>
      <protection locked="0"/>
    </xf>
    <xf numFmtId="176" fontId="56" fillId="3" borderId="0" xfId="3" applyNumberFormat="1" applyFont="1" applyFill="1" applyBorder="1" applyAlignment="1" applyProtection="1">
      <alignment horizontal="right" vertical="center" shrinkToFit="1"/>
      <protection locked="0"/>
    </xf>
    <xf numFmtId="176" fontId="57" fillId="3" borderId="0" xfId="1" applyNumberFormat="1" applyFont="1" applyFill="1" applyBorder="1" applyAlignment="1" applyProtection="1">
      <alignment horizontal="right" vertical="center" shrinkToFit="1"/>
      <protection locked="0"/>
    </xf>
    <xf numFmtId="176" fontId="58" fillId="3" borderId="0" xfId="1" applyNumberFormat="1" applyFont="1" applyFill="1" applyBorder="1" applyAlignment="1" applyProtection="1">
      <alignment horizontal="right" vertical="center" shrinkToFit="1"/>
      <protection locked="0"/>
    </xf>
    <xf numFmtId="176" fontId="59" fillId="3" borderId="0" xfId="1" applyNumberFormat="1" applyFont="1" applyFill="1" applyBorder="1" applyAlignment="1" applyProtection="1">
      <alignment horizontal="right" vertical="center" shrinkToFit="1"/>
      <protection locked="0"/>
    </xf>
    <xf numFmtId="176" fontId="66" fillId="3" borderId="0" xfId="3" applyNumberFormat="1" applyFont="1" applyFill="1" applyBorder="1" applyAlignment="1" applyProtection="1">
      <alignment horizontal="right" vertical="center" shrinkToFit="1"/>
      <protection locked="0"/>
    </xf>
    <xf numFmtId="176" fontId="67" fillId="3" borderId="0" xfId="1" applyNumberFormat="1" applyFont="1" applyFill="1" applyBorder="1" applyAlignment="1" applyProtection="1">
      <alignment horizontal="right" vertical="center" shrinkToFit="1"/>
      <protection locked="0"/>
    </xf>
    <xf numFmtId="176" fontId="68" fillId="3" borderId="0" xfId="1" applyNumberFormat="1" applyFont="1" applyFill="1" applyBorder="1" applyAlignment="1" applyProtection="1">
      <alignment horizontal="right" vertical="center" shrinkToFit="1"/>
      <protection locked="0"/>
    </xf>
    <xf numFmtId="176" fontId="69" fillId="3" borderId="0" xfId="1" applyNumberFormat="1" applyFont="1" applyFill="1" applyBorder="1" applyAlignment="1" applyProtection="1">
      <alignment horizontal="right" vertical="center" shrinkToFit="1"/>
      <protection locked="0"/>
    </xf>
    <xf numFmtId="176" fontId="76" fillId="3" borderId="0" xfId="3" applyNumberFormat="1" applyFont="1" applyFill="1" applyBorder="1" applyAlignment="1" applyProtection="1">
      <alignment horizontal="right" vertical="center" shrinkToFit="1"/>
      <protection locked="0"/>
    </xf>
    <xf numFmtId="176" fontId="77" fillId="3" borderId="0" xfId="1" applyNumberFormat="1" applyFont="1" applyFill="1" applyBorder="1" applyAlignment="1" applyProtection="1">
      <alignment horizontal="right" vertical="center" shrinkToFit="1"/>
      <protection locked="0"/>
    </xf>
    <xf numFmtId="176" fontId="78" fillId="3" borderId="0" xfId="1" applyNumberFormat="1" applyFont="1" applyFill="1" applyBorder="1" applyAlignment="1" applyProtection="1">
      <alignment horizontal="right" vertical="center" shrinkToFit="1"/>
      <protection locked="0"/>
    </xf>
    <xf numFmtId="176" fontId="79" fillId="3" borderId="0" xfId="1" applyNumberFormat="1" applyFont="1" applyFill="1" applyBorder="1" applyAlignment="1" applyProtection="1">
      <alignment horizontal="right" vertical="center" shrinkToFit="1"/>
      <protection locked="0"/>
    </xf>
    <xf numFmtId="176" fontId="86" fillId="3" borderId="0" xfId="3" applyNumberFormat="1" applyFont="1" applyFill="1" applyBorder="1" applyAlignment="1" applyProtection="1">
      <alignment horizontal="right" vertical="center" shrinkToFit="1"/>
      <protection locked="0"/>
    </xf>
    <xf numFmtId="176" fontId="87" fillId="3" borderId="0" xfId="1" applyNumberFormat="1" applyFont="1" applyFill="1" applyBorder="1" applyAlignment="1" applyProtection="1">
      <alignment horizontal="right" vertical="center" shrinkToFit="1"/>
      <protection locked="0"/>
    </xf>
    <xf numFmtId="176" fontId="88" fillId="3" borderId="0" xfId="1" applyNumberFormat="1" applyFont="1" applyFill="1" applyBorder="1" applyAlignment="1" applyProtection="1">
      <alignment horizontal="right" vertical="center" shrinkToFit="1"/>
      <protection locked="0"/>
    </xf>
    <xf numFmtId="176" fontId="89" fillId="3" borderId="0" xfId="1" applyNumberFormat="1" applyFont="1" applyFill="1" applyBorder="1" applyAlignment="1" applyProtection="1">
      <alignment horizontal="right" vertical="center" shrinkToFit="1"/>
      <protection locked="0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177" fontId="10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11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12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13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14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15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20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21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22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23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24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25" fillId="0" borderId="0" xfId="1" applyNumberFormat="1" applyFont="1" applyFill="1" applyBorder="1" applyAlignment="1" applyProtection="1">
      <alignment horizontal="right" vertical="center" shrinkToFit="1"/>
      <protection locked="0"/>
    </xf>
    <xf numFmtId="178" fontId="30" fillId="0" borderId="0" xfId="3" applyNumberFormat="1" applyFont="1" applyFill="1" applyBorder="1" applyAlignment="1" applyProtection="1">
      <alignment horizontal="right" vertical="center" shrinkToFit="1"/>
      <protection locked="0"/>
    </xf>
    <xf numFmtId="178" fontId="31" fillId="0" borderId="0" xfId="3" applyNumberFormat="1" applyFont="1" applyFill="1" applyBorder="1" applyAlignment="1" applyProtection="1">
      <alignment horizontal="right" vertical="center" shrinkToFit="1"/>
      <protection locked="0"/>
    </xf>
    <xf numFmtId="178" fontId="32" fillId="0" borderId="0" xfId="3" applyNumberFormat="1" applyFont="1" applyFill="1" applyBorder="1" applyAlignment="1" applyProtection="1">
      <alignment horizontal="right" vertical="center" shrinkToFit="1"/>
      <protection locked="0"/>
    </xf>
    <xf numFmtId="178" fontId="33" fillId="0" borderId="0" xfId="1" applyNumberFormat="1" applyFont="1" applyFill="1" applyBorder="1" applyAlignment="1" applyProtection="1">
      <alignment horizontal="right" vertical="center" shrinkToFit="1"/>
      <protection locked="0"/>
    </xf>
    <xf numFmtId="178" fontId="34" fillId="0" borderId="0" xfId="1" applyNumberFormat="1" applyFont="1" applyFill="1" applyBorder="1" applyAlignment="1" applyProtection="1">
      <alignment horizontal="right" vertical="center" shrinkToFit="1"/>
      <protection locked="0"/>
    </xf>
    <xf numFmtId="178" fontId="35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40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41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42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43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44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45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50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51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52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53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54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55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0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61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62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63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4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5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70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71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72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73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74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75" fillId="0" borderId="0" xfId="1" applyNumberFormat="1" applyFont="1" applyFill="1" applyBorder="1" applyAlignment="1" applyProtection="1">
      <alignment horizontal="right" vertical="center" shrinkToFit="1"/>
      <protection locked="0"/>
    </xf>
    <xf numFmtId="178" fontId="80" fillId="0" borderId="0" xfId="3" applyNumberFormat="1" applyFont="1" applyFill="1" applyBorder="1" applyAlignment="1" applyProtection="1">
      <alignment horizontal="right" vertical="center" shrinkToFit="1"/>
      <protection locked="0"/>
    </xf>
    <xf numFmtId="178" fontId="81" fillId="0" borderId="0" xfId="3" applyNumberFormat="1" applyFont="1" applyFill="1" applyBorder="1" applyAlignment="1" applyProtection="1">
      <alignment horizontal="right" vertical="center" shrinkToFit="1"/>
      <protection locked="0"/>
    </xf>
    <xf numFmtId="178" fontId="82" fillId="0" borderId="0" xfId="3" applyNumberFormat="1" applyFont="1" applyFill="1" applyBorder="1" applyAlignment="1" applyProtection="1">
      <alignment horizontal="right" vertical="center" shrinkToFit="1"/>
      <protection locked="0"/>
    </xf>
    <xf numFmtId="178" fontId="83" fillId="0" borderId="0" xfId="1" applyNumberFormat="1" applyFont="1" applyFill="1" applyBorder="1" applyAlignment="1" applyProtection="1">
      <alignment horizontal="right" vertical="center" shrinkToFit="1"/>
      <protection locked="0"/>
    </xf>
    <xf numFmtId="178" fontId="84" fillId="0" borderId="0" xfId="1" applyNumberFormat="1" applyFont="1" applyFill="1" applyBorder="1" applyAlignment="1" applyProtection="1">
      <alignment horizontal="right" vertical="center" shrinkToFit="1"/>
      <protection locked="0"/>
    </xf>
    <xf numFmtId="178" fontId="85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9" fillId="0" borderId="0" xfId="0" applyFont="1" applyFill="1" applyBorder="1" applyAlignment="1">
      <alignment horizontal="center" vertical="center"/>
    </xf>
    <xf numFmtId="177" fontId="90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91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92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93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94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95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9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97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98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99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10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101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102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103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104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105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10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107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108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109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110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111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112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113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114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115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116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117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118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119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12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121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122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123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124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125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126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127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128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129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13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131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132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133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134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135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136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137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138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139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140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141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142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143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144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145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146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147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148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149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150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151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152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153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154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155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15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157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158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159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16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161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162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163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164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165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16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167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168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169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170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171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172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173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174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175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176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177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178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179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18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181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182" fillId="0" borderId="0" xfId="3" applyNumberFormat="1" applyFont="1" applyFill="1" applyBorder="1" applyAlignment="1" applyProtection="1">
      <alignment horizontal="center" vertical="center" shrinkToFit="1"/>
      <protection locked="0"/>
    </xf>
    <xf numFmtId="176" fontId="183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184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185" fillId="0" borderId="0" xfId="1" applyNumberFormat="1" applyFont="1" applyFill="1" applyBorder="1" applyAlignment="1" applyProtection="1">
      <alignment horizontal="center" vertical="center" shrinkToFit="1"/>
      <protection locked="0"/>
    </xf>
    <xf numFmtId="177" fontId="186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187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188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189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19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191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192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193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194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195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196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197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198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199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200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201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202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203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204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205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206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207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208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209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210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211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212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213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214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215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21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217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218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219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22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221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222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223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224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225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22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227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228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229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230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231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232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233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234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235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236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237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238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239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24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241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242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243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244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245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246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247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248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249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25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251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252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253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254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255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256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257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258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259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260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261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262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263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264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265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266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267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268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269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270" fillId="0" borderId="0" xfId="3" applyNumberFormat="1" applyFont="1" applyFill="1" applyBorder="1" applyAlignment="1" applyProtection="1">
      <alignment horizontal="center" vertical="center" shrinkToFit="1"/>
      <protection locked="0"/>
    </xf>
    <xf numFmtId="177" fontId="271" fillId="0" borderId="0" xfId="3" applyNumberFormat="1" applyFont="1" applyFill="1" applyBorder="1" applyAlignment="1" applyProtection="1">
      <alignment horizontal="center" vertical="center" shrinkToFit="1"/>
      <protection locked="0"/>
    </xf>
    <xf numFmtId="177" fontId="272" fillId="0" borderId="0" xfId="3" applyNumberFormat="1" applyFont="1" applyFill="1" applyBorder="1" applyAlignment="1" applyProtection="1">
      <alignment horizontal="center" vertical="center" shrinkToFit="1"/>
      <protection locked="0"/>
    </xf>
    <xf numFmtId="177" fontId="273" fillId="0" borderId="0" xfId="3" applyNumberFormat="1" applyFont="1" applyFill="1" applyBorder="1" applyAlignment="1" applyProtection="1">
      <alignment horizontal="center" vertical="center" shrinkToFit="1"/>
      <protection locked="0"/>
    </xf>
    <xf numFmtId="177" fontId="274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275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27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277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278" fillId="0" borderId="0" xfId="3" applyNumberFormat="1" applyFont="1" applyFill="1" applyBorder="1" applyAlignment="1" applyProtection="1">
      <alignment horizontal="center" vertical="center" shrinkToFit="1"/>
      <protection locked="0"/>
    </xf>
    <xf numFmtId="176" fontId="279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280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281" fillId="0" borderId="0" xfId="1" applyNumberFormat="1" applyFont="1" applyFill="1" applyBorder="1" applyAlignment="1" applyProtection="1">
      <alignment horizontal="center" vertical="center" shrinkToFit="1"/>
      <protection locked="0"/>
    </xf>
    <xf numFmtId="177" fontId="282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283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284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285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28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287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288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289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290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291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292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293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294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295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296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297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298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299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30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301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302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303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304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305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306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307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308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309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31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311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312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313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314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315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316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317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318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319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320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321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322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323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324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325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326" fillId="0" borderId="0" xfId="3" applyNumberFormat="1" applyFont="1" applyFill="1" applyBorder="1" applyAlignment="1" applyProtection="1">
      <alignment horizontal="center" vertical="center" shrinkToFit="1"/>
      <protection locked="0"/>
    </xf>
    <xf numFmtId="176" fontId="327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328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329" fillId="0" borderId="0" xfId="1" applyNumberFormat="1" applyFont="1" applyFill="1" applyBorder="1" applyAlignment="1" applyProtection="1">
      <alignment horizontal="center" vertical="center" shrinkToFit="1"/>
      <protection locked="0"/>
    </xf>
    <xf numFmtId="177" fontId="330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331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332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333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334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335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33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337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338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339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34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341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342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343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344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345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34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347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348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349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350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351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352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353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354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355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356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357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358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359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36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361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362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363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364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365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366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367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368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369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37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371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372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373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374" fillId="0" borderId="0" xfId="3" applyNumberFormat="1" applyFont="1" applyFill="1" applyBorder="1" applyAlignment="1" applyProtection="1">
      <alignment horizontal="center" vertical="center" shrinkToFit="1"/>
      <protection locked="0"/>
    </xf>
    <xf numFmtId="176" fontId="375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376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377" fillId="0" borderId="0" xfId="1" applyNumberFormat="1" applyFont="1" applyFill="1" applyBorder="1" applyAlignment="1" applyProtection="1">
      <alignment horizontal="center" vertical="center" shrinkToFit="1"/>
      <protection locked="0"/>
    </xf>
    <xf numFmtId="177" fontId="378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379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380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381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382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383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384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385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386" fillId="0" borderId="0" xfId="3" applyNumberFormat="1" applyFont="1" applyFill="1" applyBorder="1" applyAlignment="1" applyProtection="1">
      <alignment horizontal="center" vertical="center" shrinkToFit="1"/>
      <protection locked="0"/>
    </xf>
    <xf numFmtId="176" fontId="387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388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389" fillId="0" borderId="0" xfId="1" applyNumberFormat="1" applyFont="1" applyFill="1" applyBorder="1" applyAlignment="1" applyProtection="1">
      <alignment horizontal="center" vertical="center" shrinkToFit="1"/>
      <protection locked="0"/>
    </xf>
    <xf numFmtId="177" fontId="390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391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392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393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394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395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39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397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398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399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40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401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402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403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404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405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40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407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408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409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410" fillId="0" borderId="0" xfId="3" applyNumberFormat="1" applyFont="1" applyFill="1" applyBorder="1" applyAlignment="1" applyProtection="1">
      <alignment horizontal="center" vertical="center" shrinkToFit="1"/>
      <protection locked="0"/>
    </xf>
    <xf numFmtId="176" fontId="411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412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413" fillId="0" borderId="0" xfId="1" applyNumberFormat="1" applyFont="1" applyFill="1" applyBorder="1" applyAlignment="1" applyProtection="1">
      <alignment horizontal="center" vertical="center" shrinkToFit="1"/>
      <protection locked="0"/>
    </xf>
    <xf numFmtId="177" fontId="414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415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416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417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418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419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42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421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422" fillId="0" borderId="0" xfId="3" applyNumberFormat="1" applyFont="1" applyFill="1" applyBorder="1" applyAlignment="1" applyProtection="1">
      <alignment horizontal="center" vertical="center" shrinkToFit="1"/>
      <protection locked="0"/>
    </xf>
    <xf numFmtId="176" fontId="423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424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425" fillId="0" borderId="0" xfId="1" applyNumberFormat="1" applyFont="1" applyFill="1" applyBorder="1" applyAlignment="1" applyProtection="1">
      <alignment horizontal="center" vertical="center" shrinkToFit="1"/>
      <protection locked="0"/>
    </xf>
    <xf numFmtId="177" fontId="426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427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428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429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43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431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432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433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434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435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436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437" fillId="0" borderId="0" xfId="1" applyNumberFormat="1" applyFont="1" applyFill="1" applyBorder="1" applyAlignment="1" applyProtection="1">
      <alignment horizontal="right" vertical="center" shrinkToFit="1"/>
      <protection locked="0"/>
    </xf>
    <xf numFmtId="0" fontId="7" fillId="3" borderId="27" xfId="0" applyFont="1" applyFill="1" applyBorder="1" applyAlignment="1">
      <alignment horizontal="center" vertical="center"/>
    </xf>
    <xf numFmtId="0" fontId="7" fillId="0" borderId="27" xfId="0" applyFont="1" applyFill="1" applyBorder="1" applyAlignment="1">
      <alignment horizontal="center" vertical="center"/>
    </xf>
    <xf numFmtId="176" fontId="446" fillId="0" borderId="27" xfId="3" applyNumberFormat="1" applyFont="1" applyFill="1" applyBorder="1" applyAlignment="1" applyProtection="1">
      <alignment horizontal="right" vertical="center" shrinkToFit="1"/>
      <protection locked="0"/>
    </xf>
    <xf numFmtId="176" fontId="447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448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449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45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451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452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453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462" fillId="0" borderId="27" xfId="3" applyNumberFormat="1" applyFont="1" applyFill="1" applyBorder="1" applyAlignment="1" applyProtection="1">
      <alignment horizontal="right" vertical="center" shrinkToFit="1"/>
      <protection locked="0"/>
    </xf>
    <xf numFmtId="176" fontId="463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464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465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466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467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468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469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478" fillId="0" borderId="27" xfId="3" applyNumberFormat="1" applyFont="1" applyFill="1" applyBorder="1" applyAlignment="1" applyProtection="1">
      <alignment horizontal="right" vertical="center" shrinkToFit="1"/>
      <protection locked="0"/>
    </xf>
    <xf numFmtId="176" fontId="479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480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481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482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483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484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485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494" fillId="0" borderId="27" xfId="3" applyNumberFormat="1" applyFont="1" applyFill="1" applyBorder="1" applyAlignment="1" applyProtection="1">
      <alignment horizontal="right" vertical="center" shrinkToFit="1"/>
      <protection locked="0"/>
    </xf>
    <xf numFmtId="176" fontId="495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496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497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498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499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50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501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510" fillId="0" borderId="27" xfId="3" applyNumberFormat="1" applyFont="1" applyFill="1" applyBorder="1" applyAlignment="1" applyProtection="1">
      <alignment horizontal="right" vertical="center" shrinkToFit="1"/>
      <protection locked="0"/>
    </xf>
    <xf numFmtId="176" fontId="511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512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513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514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515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516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517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526" fillId="0" borderId="27" xfId="3" applyNumberFormat="1" applyFont="1" applyFill="1" applyBorder="1" applyAlignment="1" applyProtection="1">
      <alignment horizontal="right" vertical="center" shrinkToFit="1"/>
      <protection locked="0"/>
    </xf>
    <xf numFmtId="176" fontId="527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528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529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53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531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532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533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542" fillId="0" borderId="27" xfId="3" applyNumberFormat="1" applyFont="1" applyFill="1" applyBorder="1" applyAlignment="1" applyProtection="1">
      <alignment horizontal="right" vertical="center" shrinkToFit="1"/>
      <protection locked="0"/>
    </xf>
    <xf numFmtId="176" fontId="543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544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545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546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547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548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549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558" fillId="0" borderId="27" xfId="3" applyNumberFormat="1" applyFont="1" applyFill="1" applyBorder="1" applyAlignment="1" applyProtection="1">
      <alignment horizontal="center" vertical="center" shrinkToFit="1"/>
      <protection locked="0"/>
    </xf>
    <xf numFmtId="176" fontId="559" fillId="0" borderId="0" xfId="3" applyNumberFormat="1" applyFont="1" applyFill="1" applyBorder="1" applyAlignment="1" applyProtection="1">
      <alignment horizontal="center" vertical="center" shrinkToFit="1"/>
      <protection locked="0"/>
    </xf>
    <xf numFmtId="176" fontId="560" fillId="0" borderId="0" xfId="3" applyNumberFormat="1" applyFont="1" applyFill="1" applyBorder="1" applyAlignment="1" applyProtection="1">
      <alignment horizontal="center" vertical="center" shrinkToFit="1"/>
      <protection locked="0"/>
    </xf>
    <xf numFmtId="176" fontId="561" fillId="0" borderId="0" xfId="3" applyNumberFormat="1" applyFont="1" applyFill="1" applyBorder="1" applyAlignment="1" applyProtection="1">
      <alignment horizontal="center" vertical="center" shrinkToFit="1"/>
      <protection locked="0"/>
    </xf>
    <xf numFmtId="176" fontId="562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563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564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565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574" fillId="0" borderId="27" xfId="3" applyNumberFormat="1" applyFont="1" applyFill="1" applyBorder="1" applyAlignment="1" applyProtection="1">
      <alignment horizontal="right" vertical="center" shrinkToFit="1"/>
      <protection locked="0"/>
    </xf>
    <xf numFmtId="176" fontId="575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576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577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578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579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58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581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590" fillId="0" borderId="27" xfId="3" applyNumberFormat="1" applyFont="1" applyFill="1" applyBorder="1" applyAlignment="1" applyProtection="1">
      <alignment horizontal="right" vertical="center" shrinkToFit="1"/>
      <protection locked="0"/>
    </xf>
    <xf numFmtId="176" fontId="591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592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593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594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595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596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597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606" fillId="0" borderId="27" xfId="3" applyNumberFormat="1" applyFont="1" applyFill="1" applyBorder="1" applyAlignment="1" applyProtection="1">
      <alignment horizontal="right" vertical="center" shrinkToFit="1"/>
      <protection locked="0"/>
    </xf>
    <xf numFmtId="176" fontId="607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608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609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61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611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612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613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622" fillId="0" borderId="27" xfId="3" applyNumberFormat="1" applyFont="1" applyFill="1" applyBorder="1" applyAlignment="1" applyProtection="1">
      <alignment horizontal="right" vertical="center" shrinkToFit="1"/>
      <protection locked="0"/>
    </xf>
    <xf numFmtId="176" fontId="623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624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625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626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627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628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629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638" fillId="0" borderId="27" xfId="3" applyNumberFormat="1" applyFont="1" applyFill="1" applyBorder="1" applyAlignment="1" applyProtection="1">
      <alignment horizontal="right" vertical="center" shrinkToFit="1"/>
      <protection locked="0"/>
    </xf>
    <xf numFmtId="176" fontId="639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640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641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642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643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644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645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654" fillId="0" borderId="27" xfId="3" applyNumberFormat="1" applyFont="1" applyFill="1" applyBorder="1" applyAlignment="1" applyProtection="1">
      <alignment horizontal="right" vertical="center" shrinkToFit="1"/>
      <protection locked="0"/>
    </xf>
    <xf numFmtId="176" fontId="655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656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657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658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659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66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661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670" fillId="0" borderId="27" xfId="3" applyNumberFormat="1" applyFont="1" applyFill="1" applyBorder="1" applyAlignment="1" applyProtection="1">
      <alignment horizontal="right" vertical="center" shrinkToFit="1"/>
      <protection locked="0"/>
    </xf>
    <xf numFmtId="176" fontId="671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672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673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674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675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676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677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686" fillId="0" borderId="27" xfId="3" applyNumberFormat="1" applyFont="1" applyFill="1" applyBorder="1" applyAlignment="1" applyProtection="1">
      <alignment horizontal="right" vertical="center" shrinkToFit="1"/>
      <protection locked="0"/>
    </xf>
    <xf numFmtId="176" fontId="687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688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689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69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691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692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693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702" fillId="0" borderId="27" xfId="3" applyNumberFormat="1" applyFont="1" applyFill="1" applyBorder="1" applyAlignment="1" applyProtection="1">
      <alignment horizontal="center" vertical="center" shrinkToFit="1"/>
      <protection locked="0"/>
    </xf>
    <xf numFmtId="176" fontId="703" fillId="0" borderId="0" xfId="3" applyNumberFormat="1" applyFont="1" applyFill="1" applyBorder="1" applyAlignment="1" applyProtection="1">
      <alignment horizontal="center" vertical="center" shrinkToFit="1"/>
      <protection locked="0"/>
    </xf>
    <xf numFmtId="176" fontId="704" fillId="0" borderId="0" xfId="3" applyNumberFormat="1" applyFont="1" applyFill="1" applyBorder="1" applyAlignment="1" applyProtection="1">
      <alignment horizontal="center" vertical="center" shrinkToFit="1"/>
      <protection locked="0"/>
    </xf>
    <xf numFmtId="176" fontId="705" fillId="0" borderId="0" xfId="3" applyNumberFormat="1" applyFont="1" applyFill="1" applyBorder="1" applyAlignment="1" applyProtection="1">
      <alignment horizontal="center" vertical="center" shrinkToFit="1"/>
      <protection locked="0"/>
    </xf>
    <xf numFmtId="176" fontId="706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707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708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709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718" fillId="0" borderId="27" xfId="3" applyNumberFormat="1" applyFont="1" applyFill="1" applyBorder="1" applyAlignment="1" applyProtection="1">
      <alignment horizontal="right" vertical="center" shrinkToFit="1"/>
      <protection locked="0"/>
    </xf>
    <xf numFmtId="176" fontId="719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720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721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722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723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724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725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734" fillId="0" borderId="27" xfId="3" applyNumberFormat="1" applyFont="1" applyFill="1" applyBorder="1" applyAlignment="1" applyProtection="1">
      <alignment horizontal="right" vertical="center" shrinkToFit="1"/>
      <protection locked="0"/>
    </xf>
    <xf numFmtId="176" fontId="735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736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737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738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739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74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741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750" fillId="0" borderId="27" xfId="3" applyNumberFormat="1" applyFont="1" applyFill="1" applyBorder="1" applyAlignment="1" applyProtection="1">
      <alignment horizontal="right" vertical="center" shrinkToFit="1"/>
      <protection locked="0"/>
    </xf>
    <xf numFmtId="176" fontId="751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752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753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754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755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756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757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766" fillId="0" borderId="27" xfId="3" applyNumberFormat="1" applyFont="1" applyFill="1" applyBorder="1" applyAlignment="1" applyProtection="1">
      <alignment horizontal="center" vertical="center" shrinkToFit="1"/>
      <protection locked="0"/>
    </xf>
    <xf numFmtId="176" fontId="767" fillId="0" borderId="0" xfId="3" applyNumberFormat="1" applyFont="1" applyFill="1" applyBorder="1" applyAlignment="1" applyProtection="1">
      <alignment horizontal="center" vertical="center" shrinkToFit="1"/>
      <protection locked="0"/>
    </xf>
    <xf numFmtId="176" fontId="768" fillId="0" borderId="0" xfId="3" applyNumberFormat="1" applyFont="1" applyFill="1" applyBorder="1" applyAlignment="1" applyProtection="1">
      <alignment horizontal="center" vertical="center" shrinkToFit="1"/>
      <protection locked="0"/>
    </xf>
    <xf numFmtId="176" fontId="769" fillId="0" borderId="0" xfId="3" applyNumberFormat="1" applyFont="1" applyFill="1" applyBorder="1" applyAlignment="1" applyProtection="1">
      <alignment horizontal="center" vertical="center" shrinkToFit="1"/>
      <protection locked="0"/>
    </xf>
    <xf numFmtId="176" fontId="770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771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772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773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782" fillId="0" borderId="27" xfId="3" applyNumberFormat="1" applyFont="1" applyFill="1" applyBorder="1" applyAlignment="1" applyProtection="1">
      <alignment horizontal="right" vertical="center" shrinkToFit="1"/>
      <protection locked="0"/>
    </xf>
    <xf numFmtId="176" fontId="783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784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785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786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787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788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789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798" fillId="0" borderId="27" xfId="3" applyNumberFormat="1" applyFont="1" applyFill="1" applyBorder="1" applyAlignment="1" applyProtection="1">
      <alignment horizontal="right" vertical="center" shrinkToFit="1"/>
      <protection locked="0"/>
    </xf>
    <xf numFmtId="176" fontId="799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800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801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802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803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804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805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814" fillId="0" borderId="27" xfId="3" applyNumberFormat="1" applyFont="1" applyFill="1" applyBorder="1" applyAlignment="1" applyProtection="1">
      <alignment horizontal="right" vertical="center" shrinkToFit="1"/>
      <protection locked="0"/>
    </xf>
    <xf numFmtId="176" fontId="815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816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817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818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819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82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821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830" fillId="0" borderId="27" xfId="3" applyNumberFormat="1" applyFont="1" applyFill="1" applyBorder="1" applyAlignment="1" applyProtection="1">
      <alignment horizontal="center" vertical="center" shrinkToFit="1"/>
      <protection locked="0"/>
    </xf>
    <xf numFmtId="176" fontId="831" fillId="0" borderId="0" xfId="3" applyNumberFormat="1" applyFont="1" applyFill="1" applyBorder="1" applyAlignment="1" applyProtection="1">
      <alignment horizontal="center" vertical="center" shrinkToFit="1"/>
      <protection locked="0"/>
    </xf>
    <xf numFmtId="176" fontId="832" fillId="0" borderId="0" xfId="3" applyNumberFormat="1" applyFont="1" applyFill="1" applyBorder="1" applyAlignment="1" applyProtection="1">
      <alignment horizontal="center" vertical="center" shrinkToFit="1"/>
      <protection locked="0"/>
    </xf>
    <xf numFmtId="176" fontId="833" fillId="0" borderId="0" xfId="3" applyNumberFormat="1" applyFont="1" applyFill="1" applyBorder="1" applyAlignment="1" applyProtection="1">
      <alignment horizontal="center" vertical="center" shrinkToFit="1"/>
      <protection locked="0"/>
    </xf>
    <xf numFmtId="176" fontId="834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835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836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837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846" fillId="0" borderId="27" xfId="3" applyNumberFormat="1" applyFont="1" applyFill="1" applyBorder="1" applyAlignment="1" applyProtection="1">
      <alignment horizontal="center" vertical="center" shrinkToFit="1"/>
      <protection locked="0"/>
    </xf>
    <xf numFmtId="176" fontId="847" fillId="0" borderId="0" xfId="3" applyNumberFormat="1" applyFont="1" applyFill="1" applyBorder="1" applyAlignment="1" applyProtection="1">
      <alignment horizontal="center" vertical="center" shrinkToFit="1"/>
      <protection locked="0"/>
    </xf>
    <xf numFmtId="176" fontId="848" fillId="0" borderId="0" xfId="3" applyNumberFormat="1" applyFont="1" applyFill="1" applyBorder="1" applyAlignment="1" applyProtection="1">
      <alignment horizontal="center" vertical="center" shrinkToFit="1"/>
      <protection locked="0"/>
    </xf>
    <xf numFmtId="176" fontId="849" fillId="0" borderId="0" xfId="3" applyNumberFormat="1" applyFont="1" applyFill="1" applyBorder="1" applyAlignment="1" applyProtection="1">
      <alignment horizontal="center" vertical="center" shrinkToFit="1"/>
      <protection locked="0"/>
    </xf>
    <xf numFmtId="176" fontId="850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851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852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853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862" fillId="0" borderId="27" xfId="3" applyNumberFormat="1" applyFont="1" applyFill="1" applyBorder="1" applyAlignment="1" applyProtection="1">
      <alignment horizontal="right" vertical="center" shrinkToFit="1"/>
      <protection locked="0"/>
    </xf>
    <xf numFmtId="176" fontId="863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864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865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866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867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868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869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878" fillId="0" borderId="27" xfId="3" applyNumberFormat="1" applyFont="1" applyFill="1" applyBorder="1" applyAlignment="1" applyProtection="1">
      <alignment horizontal="center" vertical="center" shrinkToFit="1"/>
      <protection locked="0"/>
    </xf>
    <xf numFmtId="176" fontId="879" fillId="0" borderId="0" xfId="3" applyNumberFormat="1" applyFont="1" applyFill="1" applyBorder="1" applyAlignment="1" applyProtection="1">
      <alignment horizontal="center" vertical="center" shrinkToFit="1"/>
      <protection locked="0"/>
    </xf>
    <xf numFmtId="176" fontId="880" fillId="0" borderId="0" xfId="3" applyNumberFormat="1" applyFont="1" applyFill="1" applyBorder="1" applyAlignment="1" applyProtection="1">
      <alignment horizontal="center" vertical="center" shrinkToFit="1"/>
      <protection locked="0"/>
    </xf>
    <xf numFmtId="176" fontId="881" fillId="0" borderId="0" xfId="3" applyNumberFormat="1" applyFont="1" applyFill="1" applyBorder="1" applyAlignment="1" applyProtection="1">
      <alignment horizontal="center" vertical="center" shrinkToFit="1"/>
      <protection locked="0"/>
    </xf>
    <xf numFmtId="176" fontId="882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883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884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885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894" fillId="0" borderId="27" xfId="3" applyNumberFormat="1" applyFont="1" applyFill="1" applyBorder="1" applyAlignment="1" applyProtection="1">
      <alignment horizontal="center" vertical="center" shrinkToFit="1"/>
      <protection locked="0"/>
    </xf>
    <xf numFmtId="176" fontId="895" fillId="0" borderId="0" xfId="3" applyNumberFormat="1" applyFont="1" applyFill="1" applyBorder="1" applyAlignment="1" applyProtection="1">
      <alignment horizontal="center" vertical="center" shrinkToFit="1"/>
      <protection locked="0"/>
    </xf>
    <xf numFmtId="176" fontId="896" fillId="0" borderId="0" xfId="3" applyNumberFormat="1" applyFont="1" applyFill="1" applyBorder="1" applyAlignment="1" applyProtection="1">
      <alignment horizontal="center" vertical="center" shrinkToFit="1"/>
      <protection locked="0"/>
    </xf>
    <xf numFmtId="176" fontId="897" fillId="0" borderId="0" xfId="3" applyNumberFormat="1" applyFont="1" applyFill="1" applyBorder="1" applyAlignment="1" applyProtection="1">
      <alignment horizontal="center" vertical="center" shrinkToFit="1"/>
      <protection locked="0"/>
    </xf>
    <xf numFmtId="176" fontId="898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899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900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901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910" fillId="0" borderId="27" xfId="3" applyNumberFormat="1" applyFont="1" applyFill="1" applyBorder="1" applyAlignment="1" applyProtection="1">
      <alignment horizontal="right" vertical="center" shrinkToFit="1"/>
      <protection locked="0"/>
    </xf>
    <xf numFmtId="176" fontId="911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912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913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914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915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916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917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439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440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441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442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443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444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445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446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455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456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457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458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459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46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461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462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471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472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473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474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475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47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477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478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487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488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489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49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491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492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493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494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503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504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505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50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507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508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509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510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519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520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521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522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523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524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525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526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535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536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537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538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539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54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541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542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551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552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553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554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555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55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557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558" fillId="0" borderId="0" xfId="3" applyNumberFormat="1" applyFont="1" applyFill="1" applyBorder="1" applyAlignment="1" applyProtection="1">
      <alignment horizontal="center" vertical="center" shrinkToFit="1"/>
      <protection locked="0"/>
    </xf>
    <xf numFmtId="177" fontId="567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568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569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57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571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572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573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574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583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584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585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58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587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588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589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590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599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600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601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602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03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04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05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606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615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616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617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618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19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2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21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622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631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632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633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634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35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3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37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638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647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648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649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65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51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52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53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654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663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664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665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66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67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68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69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670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679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680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681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682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83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84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85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686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695" fillId="0" borderId="0" xfId="3" applyNumberFormat="1" applyFont="1" applyFill="1" applyBorder="1" applyAlignment="1" applyProtection="1">
      <alignment horizontal="center" vertical="center" shrinkToFit="1"/>
      <protection locked="0"/>
    </xf>
    <xf numFmtId="177" fontId="696" fillId="0" borderId="0" xfId="3" applyNumberFormat="1" applyFont="1" applyFill="1" applyBorder="1" applyAlignment="1" applyProtection="1">
      <alignment horizontal="center" vertical="center" shrinkToFit="1"/>
      <protection locked="0"/>
    </xf>
    <xf numFmtId="177" fontId="697" fillId="0" borderId="0" xfId="3" applyNumberFormat="1" applyFont="1" applyFill="1" applyBorder="1" applyAlignment="1" applyProtection="1">
      <alignment horizontal="center" vertical="center" shrinkToFit="1"/>
      <protection locked="0"/>
    </xf>
    <xf numFmtId="177" fontId="698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699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70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701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702" fillId="0" borderId="0" xfId="3" applyNumberFormat="1" applyFont="1" applyFill="1" applyBorder="1" applyAlignment="1" applyProtection="1">
      <alignment horizontal="center" vertical="center" shrinkToFit="1"/>
      <protection locked="0"/>
    </xf>
    <xf numFmtId="177" fontId="711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712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713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714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715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71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717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718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727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728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729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73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731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732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733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734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743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744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745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74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747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748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749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750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759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760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761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762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763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764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765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766" fillId="0" borderId="0" xfId="3" applyNumberFormat="1" applyFont="1" applyFill="1" applyBorder="1" applyAlignment="1" applyProtection="1">
      <alignment horizontal="center" vertical="center" shrinkToFit="1"/>
      <protection locked="0"/>
    </xf>
    <xf numFmtId="177" fontId="775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776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777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778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779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78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781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782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791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792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793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794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795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79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797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798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807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808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809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81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811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812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813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814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823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824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825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82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827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828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829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830" fillId="0" borderId="0" xfId="3" applyNumberFormat="1" applyFont="1" applyFill="1" applyBorder="1" applyAlignment="1" applyProtection="1">
      <alignment horizontal="center" vertical="center" shrinkToFit="1"/>
      <protection locked="0"/>
    </xf>
    <xf numFmtId="177" fontId="839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840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841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842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843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844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845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846" fillId="0" borderId="0" xfId="3" applyNumberFormat="1" applyFont="1" applyFill="1" applyBorder="1" applyAlignment="1" applyProtection="1">
      <alignment horizontal="center" vertical="center" shrinkToFit="1"/>
      <protection locked="0"/>
    </xf>
    <xf numFmtId="177" fontId="855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856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857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858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859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86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861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862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871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872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873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874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875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87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877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878" fillId="0" borderId="0" xfId="3" applyNumberFormat="1" applyFont="1" applyFill="1" applyBorder="1" applyAlignment="1" applyProtection="1">
      <alignment horizontal="center" vertical="center" shrinkToFit="1"/>
      <protection locked="0"/>
    </xf>
    <xf numFmtId="177" fontId="887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888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889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890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891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892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893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894" fillId="0" borderId="0" xfId="3" applyNumberFormat="1" applyFont="1" applyFill="1" applyBorder="1" applyAlignment="1" applyProtection="1">
      <alignment horizontal="center" vertical="center" shrinkToFit="1"/>
      <protection locked="0"/>
    </xf>
    <xf numFmtId="177" fontId="903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904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905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90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907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908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909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910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438" fillId="0" borderId="27" xfId="3" applyNumberFormat="1" applyFont="1" applyFill="1" applyBorder="1" applyAlignment="1" applyProtection="1">
      <alignment horizontal="right" vertical="center" shrinkToFit="1"/>
      <protection locked="0"/>
    </xf>
    <xf numFmtId="177" fontId="454" fillId="0" borderId="27" xfId="3" applyNumberFormat="1" applyFont="1" applyFill="1" applyBorder="1" applyAlignment="1" applyProtection="1">
      <alignment horizontal="right" vertical="center" shrinkToFit="1"/>
      <protection locked="0"/>
    </xf>
    <xf numFmtId="177" fontId="470" fillId="0" borderId="27" xfId="3" applyNumberFormat="1" applyFont="1" applyFill="1" applyBorder="1" applyAlignment="1" applyProtection="1">
      <alignment horizontal="right" vertical="center" shrinkToFit="1"/>
      <protection locked="0"/>
    </xf>
    <xf numFmtId="177" fontId="486" fillId="0" borderId="27" xfId="3" applyNumberFormat="1" applyFont="1" applyFill="1" applyBorder="1" applyAlignment="1" applyProtection="1">
      <alignment horizontal="right" vertical="center" shrinkToFit="1"/>
      <protection locked="0"/>
    </xf>
    <xf numFmtId="177" fontId="502" fillId="0" borderId="27" xfId="3" applyNumberFormat="1" applyFont="1" applyFill="1" applyBorder="1" applyAlignment="1" applyProtection="1">
      <alignment horizontal="right" vertical="center" shrinkToFit="1"/>
      <protection locked="0"/>
    </xf>
    <xf numFmtId="177" fontId="518" fillId="0" borderId="27" xfId="3" applyNumberFormat="1" applyFont="1" applyFill="1" applyBorder="1" applyAlignment="1" applyProtection="1">
      <alignment horizontal="right" vertical="center" shrinkToFit="1"/>
      <protection locked="0"/>
    </xf>
    <xf numFmtId="177" fontId="534" fillId="0" borderId="27" xfId="3" applyNumberFormat="1" applyFont="1" applyFill="1" applyBorder="1" applyAlignment="1" applyProtection="1">
      <alignment horizontal="right" vertical="center" shrinkToFit="1"/>
      <protection locked="0"/>
    </xf>
    <xf numFmtId="177" fontId="550" fillId="0" borderId="27" xfId="3" applyNumberFormat="1" applyFont="1" applyFill="1" applyBorder="1" applyAlignment="1" applyProtection="1">
      <alignment horizontal="right" vertical="center" shrinkToFit="1"/>
      <protection locked="0"/>
    </xf>
    <xf numFmtId="177" fontId="566" fillId="0" borderId="27" xfId="3" applyNumberFormat="1" applyFont="1" applyFill="1" applyBorder="1" applyAlignment="1" applyProtection="1">
      <alignment horizontal="right" vertical="center" shrinkToFit="1"/>
      <protection locked="0"/>
    </xf>
    <xf numFmtId="177" fontId="582" fillId="0" borderId="27" xfId="3" applyNumberFormat="1" applyFont="1" applyFill="1" applyBorder="1" applyAlignment="1" applyProtection="1">
      <alignment horizontal="right" vertical="center" shrinkToFit="1"/>
      <protection locked="0"/>
    </xf>
    <xf numFmtId="177" fontId="598" fillId="0" borderId="27" xfId="3" applyNumberFormat="1" applyFont="1" applyFill="1" applyBorder="1" applyAlignment="1" applyProtection="1">
      <alignment horizontal="right" vertical="center" shrinkToFit="1"/>
      <protection locked="0"/>
    </xf>
    <xf numFmtId="177" fontId="614" fillId="0" borderId="27" xfId="3" applyNumberFormat="1" applyFont="1" applyFill="1" applyBorder="1" applyAlignment="1" applyProtection="1">
      <alignment horizontal="right" vertical="center" shrinkToFit="1"/>
      <protection locked="0"/>
    </xf>
    <xf numFmtId="177" fontId="630" fillId="0" borderId="27" xfId="3" applyNumberFormat="1" applyFont="1" applyFill="1" applyBorder="1" applyAlignment="1" applyProtection="1">
      <alignment horizontal="right" vertical="center" shrinkToFit="1"/>
      <protection locked="0"/>
    </xf>
    <xf numFmtId="177" fontId="646" fillId="0" borderId="27" xfId="3" applyNumberFormat="1" applyFont="1" applyFill="1" applyBorder="1" applyAlignment="1" applyProtection="1">
      <alignment horizontal="right" vertical="center" shrinkToFit="1"/>
      <protection locked="0"/>
    </xf>
    <xf numFmtId="177" fontId="662" fillId="0" borderId="27" xfId="3" applyNumberFormat="1" applyFont="1" applyFill="1" applyBorder="1" applyAlignment="1" applyProtection="1">
      <alignment horizontal="right" vertical="center" shrinkToFit="1"/>
      <protection locked="0"/>
    </xf>
    <xf numFmtId="177" fontId="678" fillId="0" borderId="27" xfId="3" applyNumberFormat="1" applyFont="1" applyFill="1" applyBorder="1" applyAlignment="1" applyProtection="1">
      <alignment horizontal="right" vertical="center" shrinkToFit="1"/>
      <protection locked="0"/>
    </xf>
    <xf numFmtId="177" fontId="694" fillId="0" borderId="27" xfId="3" applyNumberFormat="1" applyFont="1" applyFill="1" applyBorder="1" applyAlignment="1" applyProtection="1">
      <alignment horizontal="center" vertical="center" shrinkToFit="1"/>
      <protection locked="0"/>
    </xf>
    <xf numFmtId="177" fontId="710" fillId="0" borderId="27" xfId="3" applyNumberFormat="1" applyFont="1" applyFill="1" applyBorder="1" applyAlignment="1" applyProtection="1">
      <alignment horizontal="right" vertical="center" shrinkToFit="1"/>
      <protection locked="0"/>
    </xf>
    <xf numFmtId="177" fontId="726" fillId="0" borderId="27" xfId="3" applyNumberFormat="1" applyFont="1" applyFill="1" applyBorder="1" applyAlignment="1" applyProtection="1">
      <alignment horizontal="right" vertical="center" shrinkToFit="1"/>
      <protection locked="0"/>
    </xf>
    <xf numFmtId="177" fontId="742" fillId="0" borderId="27" xfId="3" applyNumberFormat="1" applyFont="1" applyFill="1" applyBorder="1" applyAlignment="1" applyProtection="1">
      <alignment horizontal="right" vertical="center" shrinkToFit="1"/>
      <protection locked="0"/>
    </xf>
    <xf numFmtId="177" fontId="758" fillId="0" borderId="27" xfId="3" applyNumberFormat="1" applyFont="1" applyFill="1" applyBorder="1" applyAlignment="1" applyProtection="1">
      <alignment horizontal="right" vertical="center" shrinkToFit="1"/>
      <protection locked="0"/>
    </xf>
    <xf numFmtId="177" fontId="774" fillId="0" borderId="27" xfId="3" applyNumberFormat="1" applyFont="1" applyFill="1" applyBorder="1" applyAlignment="1" applyProtection="1">
      <alignment horizontal="right" vertical="center" shrinkToFit="1"/>
      <protection locked="0"/>
    </xf>
    <xf numFmtId="177" fontId="790" fillId="0" borderId="27" xfId="3" applyNumberFormat="1" applyFont="1" applyFill="1" applyBorder="1" applyAlignment="1" applyProtection="1">
      <alignment horizontal="right" vertical="center" shrinkToFit="1"/>
      <protection locked="0"/>
    </xf>
    <xf numFmtId="177" fontId="806" fillId="0" borderId="27" xfId="3" applyNumberFormat="1" applyFont="1" applyFill="1" applyBorder="1" applyAlignment="1" applyProtection="1">
      <alignment horizontal="right" vertical="center" shrinkToFit="1"/>
      <protection locked="0"/>
    </xf>
    <xf numFmtId="177" fontId="822" fillId="0" borderId="27" xfId="3" applyNumberFormat="1" applyFont="1" applyFill="1" applyBorder="1" applyAlignment="1" applyProtection="1">
      <alignment horizontal="right" vertical="center" shrinkToFit="1"/>
      <protection locked="0"/>
    </xf>
    <xf numFmtId="177" fontId="838" fillId="0" borderId="27" xfId="3" applyNumberFormat="1" applyFont="1" applyFill="1" applyBorder="1" applyAlignment="1" applyProtection="1">
      <alignment horizontal="right" vertical="center" shrinkToFit="1"/>
      <protection locked="0"/>
    </xf>
    <xf numFmtId="177" fontId="854" fillId="0" borderId="27" xfId="3" applyNumberFormat="1" applyFont="1" applyFill="1" applyBorder="1" applyAlignment="1" applyProtection="1">
      <alignment horizontal="right" vertical="center" shrinkToFit="1"/>
      <protection locked="0"/>
    </xf>
    <xf numFmtId="177" fontId="870" fillId="0" borderId="27" xfId="3" applyNumberFormat="1" applyFont="1" applyFill="1" applyBorder="1" applyAlignment="1" applyProtection="1">
      <alignment horizontal="right" vertical="center" shrinkToFit="1"/>
      <protection locked="0"/>
    </xf>
    <xf numFmtId="177" fontId="886" fillId="0" borderId="27" xfId="3" applyNumberFormat="1" applyFont="1" applyFill="1" applyBorder="1" applyAlignment="1" applyProtection="1">
      <alignment horizontal="right" vertical="center" shrinkToFit="1"/>
      <protection locked="0"/>
    </xf>
    <xf numFmtId="177" fontId="902" fillId="0" borderId="27" xfId="3" applyNumberFormat="1" applyFont="1" applyFill="1" applyBorder="1" applyAlignment="1" applyProtection="1">
      <alignment horizontal="right" vertical="center" shrinkToFit="1"/>
      <protection locked="0"/>
    </xf>
    <xf numFmtId="0" fontId="9" fillId="7" borderId="1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7" fillId="3" borderId="56" xfId="0" applyFont="1" applyFill="1" applyBorder="1" applyAlignment="1">
      <alignment horizontal="center"/>
    </xf>
    <xf numFmtId="0" fontId="7" fillId="0" borderId="35" xfId="0" applyFont="1" applyFill="1" applyBorder="1" applyAlignment="1">
      <alignment horizontal="center"/>
    </xf>
    <xf numFmtId="0" fontId="8" fillId="4" borderId="24" xfId="1" applyFont="1" applyFill="1" applyBorder="1" applyAlignment="1">
      <alignment horizontal="left" vertical="center"/>
    </xf>
    <xf numFmtId="177" fontId="918" fillId="3" borderId="31" xfId="3" applyNumberFormat="1" applyFont="1" applyFill="1" applyBorder="1" applyAlignment="1" applyProtection="1">
      <alignment horizontal="right" vertical="center" shrinkToFit="1"/>
      <protection locked="0"/>
    </xf>
    <xf numFmtId="177" fontId="918" fillId="3" borderId="32" xfId="3" applyNumberFormat="1" applyFont="1" applyFill="1" applyBorder="1" applyAlignment="1" applyProtection="1">
      <alignment horizontal="right" vertical="center" shrinkToFit="1"/>
      <protection locked="0"/>
    </xf>
    <xf numFmtId="177" fontId="918" fillId="3" borderId="32" xfId="1" applyNumberFormat="1" applyFont="1" applyFill="1" applyBorder="1" applyAlignment="1" applyProtection="1">
      <alignment horizontal="right" vertical="center" shrinkToFit="1"/>
      <protection locked="0"/>
    </xf>
    <xf numFmtId="177" fontId="918" fillId="3" borderId="8" xfId="1" applyNumberFormat="1" applyFont="1" applyFill="1" applyBorder="1" applyAlignment="1" applyProtection="1">
      <alignment horizontal="right" vertical="center" shrinkToFit="1"/>
      <protection locked="0"/>
    </xf>
    <xf numFmtId="177" fontId="918" fillId="3" borderId="24" xfId="1" applyNumberFormat="1" applyFont="1" applyFill="1" applyBorder="1" applyAlignment="1" applyProtection="1">
      <alignment horizontal="right" vertical="center" shrinkToFit="1"/>
      <protection locked="0"/>
    </xf>
    <xf numFmtId="177" fontId="918" fillId="3" borderId="16" xfId="3" applyNumberFormat="1" applyFont="1" applyFill="1" applyBorder="1" applyAlignment="1" applyProtection="1">
      <alignment horizontal="right" vertical="center" shrinkToFit="1"/>
      <protection locked="0"/>
    </xf>
    <xf numFmtId="177" fontId="918" fillId="3" borderId="1" xfId="3" applyNumberFormat="1" applyFont="1" applyFill="1" applyBorder="1" applyAlignment="1" applyProtection="1">
      <alignment horizontal="right" vertical="center" shrinkToFit="1"/>
      <protection locked="0"/>
    </xf>
    <xf numFmtId="177" fontId="918" fillId="3" borderId="1" xfId="1" applyNumberFormat="1" applyFont="1" applyFill="1" applyBorder="1" applyAlignment="1" applyProtection="1">
      <alignment horizontal="right" vertical="center" shrinkToFit="1"/>
      <protection locked="0"/>
    </xf>
    <xf numFmtId="177" fontId="918" fillId="3" borderId="18" xfId="1" applyNumberFormat="1" applyFont="1" applyFill="1" applyBorder="1" applyAlignment="1" applyProtection="1">
      <alignment horizontal="right" vertical="center" shrinkToFit="1"/>
      <protection locked="0"/>
    </xf>
    <xf numFmtId="178" fontId="918" fillId="3" borderId="16" xfId="3" applyNumberFormat="1" applyFont="1" applyFill="1" applyBorder="1" applyAlignment="1" applyProtection="1">
      <alignment horizontal="right" vertical="center" shrinkToFit="1"/>
      <protection locked="0"/>
    </xf>
    <xf numFmtId="178" fontId="918" fillId="3" borderId="1" xfId="3" applyNumberFormat="1" applyFont="1" applyFill="1" applyBorder="1" applyAlignment="1" applyProtection="1">
      <alignment horizontal="right" vertical="center" shrinkToFit="1"/>
      <protection locked="0"/>
    </xf>
    <xf numFmtId="177" fontId="918" fillId="3" borderId="19" xfId="3" applyNumberFormat="1" applyFont="1" applyFill="1" applyBorder="1" applyAlignment="1" applyProtection="1">
      <alignment horizontal="right" vertical="center" shrinkToFit="1"/>
      <protection locked="0"/>
    </xf>
    <xf numFmtId="177" fontId="918" fillId="3" borderId="20" xfId="3" applyNumberFormat="1" applyFont="1" applyFill="1" applyBorder="1" applyAlignment="1" applyProtection="1">
      <alignment horizontal="right" vertical="center" shrinkToFit="1"/>
      <protection locked="0"/>
    </xf>
    <xf numFmtId="177" fontId="918" fillId="3" borderId="20" xfId="1" applyNumberFormat="1" applyFont="1" applyFill="1" applyBorder="1" applyAlignment="1" applyProtection="1">
      <alignment horizontal="right" vertical="center" shrinkToFit="1"/>
      <protection locked="0"/>
    </xf>
    <xf numFmtId="177" fontId="918" fillId="3" borderId="21" xfId="1" applyNumberFormat="1" applyFont="1" applyFill="1" applyBorder="1" applyAlignment="1" applyProtection="1">
      <alignment horizontal="right" vertical="center" shrinkToFit="1"/>
      <protection locked="0"/>
    </xf>
    <xf numFmtId="176" fontId="918" fillId="3" borderId="32" xfId="3" applyNumberFormat="1" applyFont="1" applyFill="1" applyBorder="1" applyAlignment="1" applyProtection="1">
      <alignment horizontal="right" vertical="center" shrinkToFit="1"/>
      <protection locked="0"/>
    </xf>
    <xf numFmtId="176" fontId="918" fillId="3" borderId="32" xfId="1" applyNumberFormat="1" applyFont="1" applyFill="1" applyBorder="1" applyAlignment="1" applyProtection="1">
      <alignment horizontal="right" vertical="center" shrinkToFit="1"/>
      <protection locked="0"/>
    </xf>
    <xf numFmtId="176" fontId="919" fillId="3" borderId="16" xfId="3" applyNumberFormat="1" applyFont="1" applyFill="1" applyBorder="1" applyAlignment="1" applyProtection="1">
      <alignment horizontal="right" vertical="center" shrinkToFit="1"/>
      <protection locked="0"/>
    </xf>
    <xf numFmtId="176" fontId="919" fillId="3" borderId="1" xfId="3" applyNumberFormat="1" applyFont="1" applyFill="1" applyBorder="1" applyAlignment="1" applyProtection="1">
      <alignment horizontal="right" vertical="center" shrinkToFit="1"/>
      <protection locked="0"/>
    </xf>
    <xf numFmtId="176" fontId="918" fillId="3" borderId="1" xfId="1" applyNumberFormat="1" applyFont="1" applyFill="1" applyBorder="1" applyAlignment="1" applyProtection="1">
      <alignment horizontal="right" vertical="center" shrinkToFit="1"/>
      <protection locked="0"/>
    </xf>
    <xf numFmtId="176" fontId="918" fillId="3" borderId="18" xfId="1" applyNumberFormat="1" applyFont="1" applyFill="1" applyBorder="1" applyAlignment="1" applyProtection="1">
      <alignment horizontal="right" vertical="center" shrinkToFit="1"/>
      <protection locked="0"/>
    </xf>
    <xf numFmtId="176" fontId="918" fillId="3" borderId="16" xfId="3" applyNumberFormat="1" applyFont="1" applyFill="1" applyBorder="1" applyAlignment="1" applyProtection="1">
      <alignment horizontal="right" vertical="center" shrinkToFit="1"/>
      <protection locked="0"/>
    </xf>
    <xf numFmtId="176" fontId="918" fillId="3" borderId="1" xfId="3" applyNumberFormat="1" applyFont="1" applyFill="1" applyBorder="1" applyAlignment="1" applyProtection="1">
      <alignment horizontal="right" vertical="center" shrinkToFit="1"/>
      <protection locked="0"/>
    </xf>
    <xf numFmtId="176" fontId="920" fillId="3" borderId="1" xfId="3" applyNumberFormat="1" applyFont="1" applyFill="1" applyBorder="1" applyAlignment="1" applyProtection="1">
      <alignment horizontal="right" vertical="center" shrinkToFit="1"/>
      <protection locked="0"/>
    </xf>
    <xf numFmtId="176" fontId="919" fillId="3" borderId="18" xfId="1" applyNumberFormat="1" applyFont="1" applyFill="1" applyBorder="1" applyAlignment="1" applyProtection="1">
      <alignment horizontal="right" vertical="center" shrinkToFit="1"/>
      <protection locked="0"/>
    </xf>
    <xf numFmtId="176" fontId="918" fillId="3" borderId="19" xfId="3" applyNumberFormat="1" applyFont="1" applyFill="1" applyBorder="1" applyAlignment="1" applyProtection="1">
      <alignment horizontal="right" vertical="center" shrinkToFit="1"/>
      <protection locked="0"/>
    </xf>
    <xf numFmtId="176" fontId="918" fillId="3" borderId="20" xfId="3" applyNumberFormat="1" applyFont="1" applyFill="1" applyBorder="1" applyAlignment="1" applyProtection="1">
      <alignment horizontal="right" vertical="center" shrinkToFit="1"/>
      <protection locked="0"/>
    </xf>
    <xf numFmtId="176" fontId="918" fillId="3" borderId="20" xfId="1" applyNumberFormat="1" applyFont="1" applyFill="1" applyBorder="1" applyAlignment="1" applyProtection="1">
      <alignment horizontal="right" vertical="center" shrinkToFit="1"/>
      <protection locked="0"/>
    </xf>
    <xf numFmtId="176" fontId="918" fillId="3" borderId="21" xfId="1" applyNumberFormat="1" applyFont="1" applyFill="1" applyBorder="1" applyAlignment="1" applyProtection="1">
      <alignment horizontal="right" vertical="center" shrinkToFit="1"/>
      <protection locked="0"/>
    </xf>
    <xf numFmtId="177" fontId="918" fillId="4" borderId="16" xfId="3" applyNumberFormat="1" applyFont="1" applyFill="1" applyBorder="1" applyAlignment="1" applyProtection="1">
      <alignment horizontal="right" vertical="center" shrinkToFit="1"/>
      <protection locked="0"/>
    </xf>
    <xf numFmtId="177" fontId="918" fillId="4" borderId="1" xfId="3" applyNumberFormat="1" applyFont="1" applyFill="1" applyBorder="1" applyAlignment="1" applyProtection="1">
      <alignment horizontal="right" vertical="center" shrinkToFit="1"/>
      <protection locked="0"/>
    </xf>
    <xf numFmtId="177" fontId="918" fillId="4" borderId="1" xfId="1" applyNumberFormat="1" applyFont="1" applyFill="1" applyBorder="1" applyAlignment="1" applyProtection="1">
      <alignment horizontal="right" vertical="center" shrinkToFit="1"/>
      <protection locked="0"/>
    </xf>
    <xf numFmtId="177" fontId="918" fillId="4" borderId="18" xfId="1" applyNumberFormat="1" applyFont="1" applyFill="1" applyBorder="1" applyAlignment="1" applyProtection="1">
      <alignment horizontal="right" vertical="center" shrinkToFit="1"/>
      <protection locked="0"/>
    </xf>
    <xf numFmtId="177" fontId="918" fillId="3" borderId="25" xfId="3" applyNumberFormat="1" applyFont="1" applyFill="1" applyBorder="1" applyAlignment="1" applyProtection="1">
      <alignment horizontal="right" vertical="center" shrinkToFit="1"/>
      <protection locked="0"/>
    </xf>
    <xf numFmtId="177" fontId="918" fillId="3" borderId="46" xfId="3" applyNumberFormat="1" applyFont="1" applyFill="1" applyBorder="1" applyAlignment="1" applyProtection="1">
      <alignment horizontal="right" vertical="center" shrinkToFit="1"/>
      <protection locked="0"/>
    </xf>
    <xf numFmtId="177" fontId="918" fillId="3" borderId="46" xfId="1" applyNumberFormat="1" applyFont="1" applyFill="1" applyBorder="1" applyAlignment="1" applyProtection="1">
      <alignment horizontal="right" vertical="center" shrinkToFit="1"/>
      <protection locked="0"/>
    </xf>
    <xf numFmtId="177" fontId="918" fillId="3" borderId="43" xfId="1" applyNumberFormat="1" applyFont="1" applyFill="1" applyBorder="1" applyAlignment="1" applyProtection="1">
      <alignment horizontal="right" vertical="center" shrinkToFit="1"/>
      <protection locked="0"/>
    </xf>
    <xf numFmtId="177" fontId="918" fillId="4" borderId="2" xfId="1" applyNumberFormat="1" applyFont="1" applyFill="1" applyBorder="1" applyAlignment="1" applyProtection="1">
      <alignment horizontal="right" vertical="center" shrinkToFit="1"/>
      <protection locked="0"/>
    </xf>
    <xf numFmtId="177" fontId="918" fillId="4" borderId="17" xfId="1" applyNumberFormat="1" applyFont="1" applyFill="1" applyBorder="1" applyAlignment="1" applyProtection="1">
      <alignment horizontal="right" vertical="center" shrinkToFit="1"/>
      <protection locked="0"/>
    </xf>
    <xf numFmtId="177" fontId="918" fillId="3" borderId="16" xfId="3" applyNumberFormat="1" applyFont="1" applyFill="1" applyBorder="1" applyAlignment="1" applyProtection="1">
      <alignment horizontal="center" vertical="center" shrinkToFit="1"/>
      <protection locked="0"/>
    </xf>
    <xf numFmtId="177" fontId="918" fillId="3" borderId="1" xfId="3" applyNumberFormat="1" applyFont="1" applyFill="1" applyBorder="1" applyAlignment="1" applyProtection="1">
      <alignment horizontal="center" vertical="center" shrinkToFit="1"/>
      <protection locked="0"/>
    </xf>
    <xf numFmtId="177" fontId="918" fillId="3" borderId="1" xfId="1" applyNumberFormat="1" applyFont="1" applyFill="1" applyBorder="1" applyAlignment="1" applyProtection="1">
      <alignment horizontal="center" vertical="center" shrinkToFit="1"/>
      <protection locked="0"/>
    </xf>
    <xf numFmtId="176" fontId="919" fillId="4" borderId="16" xfId="3" applyNumberFormat="1" applyFont="1" applyFill="1" applyBorder="1" applyAlignment="1" applyProtection="1">
      <alignment horizontal="right" vertical="center" shrinkToFit="1"/>
      <protection locked="0"/>
    </xf>
    <xf numFmtId="176" fontId="918" fillId="4" borderId="1" xfId="3" applyNumberFormat="1" applyFont="1" applyFill="1" applyBorder="1" applyAlignment="1" applyProtection="1">
      <alignment horizontal="right" vertical="center" shrinkToFit="1"/>
      <protection locked="0"/>
    </xf>
    <xf numFmtId="176" fontId="919" fillId="4" borderId="1" xfId="3" applyNumberFormat="1" applyFont="1" applyFill="1" applyBorder="1" applyAlignment="1" applyProtection="1">
      <alignment horizontal="right" vertical="center" shrinkToFit="1"/>
      <protection locked="0"/>
    </xf>
    <xf numFmtId="176" fontId="918" fillId="4" borderId="1" xfId="1" applyNumberFormat="1" applyFont="1" applyFill="1" applyBorder="1" applyAlignment="1" applyProtection="1">
      <alignment horizontal="right" vertical="center" shrinkToFit="1"/>
      <protection locked="0"/>
    </xf>
    <xf numFmtId="176" fontId="919" fillId="3" borderId="1" xfId="1" applyNumberFormat="1" applyFont="1" applyFill="1" applyBorder="1" applyAlignment="1" applyProtection="1">
      <alignment horizontal="right" vertical="center" shrinkToFit="1"/>
      <protection locked="0"/>
    </xf>
    <xf numFmtId="176" fontId="920" fillId="3" borderId="1" xfId="1" applyNumberFormat="1" applyFont="1" applyFill="1" applyBorder="1" applyAlignment="1" applyProtection="1">
      <alignment horizontal="right" vertical="center" shrinkToFit="1"/>
      <protection locked="0"/>
    </xf>
    <xf numFmtId="176" fontId="920" fillId="3" borderId="18" xfId="1" applyNumberFormat="1" applyFont="1" applyFill="1" applyBorder="1" applyAlignment="1" applyProtection="1">
      <alignment horizontal="right" vertical="center" shrinkToFit="1"/>
      <protection locked="0"/>
    </xf>
    <xf numFmtId="176" fontId="918" fillId="3" borderId="46" xfId="3" applyNumberFormat="1" applyFont="1" applyFill="1" applyBorder="1" applyAlignment="1" applyProtection="1">
      <alignment horizontal="right" vertical="center" shrinkToFit="1"/>
      <protection locked="0"/>
    </xf>
    <xf numFmtId="176" fontId="919" fillId="3" borderId="46" xfId="3" applyNumberFormat="1" applyFont="1" applyFill="1" applyBorder="1" applyAlignment="1" applyProtection="1">
      <alignment horizontal="right" vertical="center" shrinkToFit="1"/>
      <protection locked="0"/>
    </xf>
    <xf numFmtId="176" fontId="920" fillId="3" borderId="46" xfId="1" applyNumberFormat="1" applyFont="1" applyFill="1" applyBorder="1" applyAlignment="1" applyProtection="1">
      <alignment horizontal="right" vertical="center" shrinkToFit="1"/>
      <protection locked="0"/>
    </xf>
    <xf numFmtId="176" fontId="918" fillId="4" borderId="16" xfId="3" applyNumberFormat="1" applyFont="1" applyFill="1" applyBorder="1" applyAlignment="1" applyProtection="1">
      <alignment horizontal="right" vertical="center" shrinkToFit="1"/>
      <protection locked="0"/>
    </xf>
    <xf numFmtId="176" fontId="918" fillId="3" borderId="16" xfId="3" applyNumberFormat="1" applyFont="1" applyFill="1" applyBorder="1" applyAlignment="1" applyProtection="1">
      <alignment horizontal="center" vertical="center" shrinkToFit="1"/>
      <protection locked="0"/>
    </xf>
    <xf numFmtId="176" fontId="918" fillId="3" borderId="1" xfId="3" applyNumberFormat="1" applyFont="1" applyFill="1" applyBorder="1" applyAlignment="1" applyProtection="1">
      <alignment horizontal="center" vertical="center" shrinkToFit="1"/>
      <protection locked="0"/>
    </xf>
    <xf numFmtId="176" fontId="918" fillId="3" borderId="1" xfId="1" applyNumberFormat="1" applyFont="1" applyFill="1" applyBorder="1" applyAlignment="1" applyProtection="1">
      <alignment horizontal="center" vertical="center" shrinkToFit="1"/>
      <protection locked="0"/>
    </xf>
    <xf numFmtId="176" fontId="918" fillId="3" borderId="18" xfId="1" applyNumberFormat="1" applyFont="1" applyFill="1" applyBorder="1" applyAlignment="1" applyProtection="1">
      <alignment horizontal="center" vertical="center" shrinkToFit="1"/>
      <protection locked="0"/>
    </xf>
    <xf numFmtId="176" fontId="918" fillId="3" borderId="25" xfId="3" applyNumberFormat="1" applyFont="1" applyFill="1" applyBorder="1" applyAlignment="1" applyProtection="1">
      <alignment horizontal="right" vertical="center" shrinkToFit="1"/>
      <protection locked="0"/>
    </xf>
    <xf numFmtId="176" fontId="920" fillId="3" borderId="16" xfId="3" applyNumberFormat="1" applyFont="1" applyFill="1" applyBorder="1" applyAlignment="1" applyProtection="1">
      <alignment horizontal="right" vertical="center" shrinkToFit="1"/>
      <protection locked="0"/>
    </xf>
    <xf numFmtId="176" fontId="919" fillId="3" borderId="2" xfId="1" applyNumberFormat="1" applyFont="1" applyFill="1" applyBorder="1" applyAlignment="1" applyProtection="1">
      <alignment horizontal="right" vertical="center" shrinkToFit="1"/>
      <protection locked="0"/>
    </xf>
    <xf numFmtId="176" fontId="919" fillId="3" borderId="21" xfId="1" applyNumberFormat="1" applyFont="1" applyFill="1" applyBorder="1" applyAlignment="1" applyProtection="1">
      <alignment horizontal="right" vertical="center" shrinkToFit="1"/>
      <protection locked="0"/>
    </xf>
    <xf numFmtId="176" fontId="918" fillId="4" borderId="2" xfId="1" applyNumberFormat="1" applyFont="1" applyFill="1" applyBorder="1" applyAlignment="1" applyProtection="1">
      <alignment horizontal="right" vertical="center" shrinkToFit="1"/>
      <protection locked="0"/>
    </xf>
    <xf numFmtId="176" fontId="920" fillId="3" borderId="2" xfId="1" applyNumberFormat="1" applyFont="1" applyFill="1" applyBorder="1" applyAlignment="1" applyProtection="1">
      <alignment horizontal="right" vertical="center" shrinkToFit="1"/>
      <protection locked="0"/>
    </xf>
    <xf numFmtId="176" fontId="920" fillId="3" borderId="46" xfId="3" applyNumberFormat="1" applyFont="1" applyFill="1" applyBorder="1" applyAlignment="1" applyProtection="1">
      <alignment horizontal="right" vertical="center" shrinkToFit="1"/>
      <protection locked="0"/>
    </xf>
    <xf numFmtId="176" fontId="920" fillId="3" borderId="4" xfId="1" applyNumberFormat="1" applyFont="1" applyFill="1" applyBorder="1" applyAlignment="1" applyProtection="1">
      <alignment horizontal="right" vertical="center" shrinkToFit="1"/>
      <protection locked="0"/>
    </xf>
    <xf numFmtId="176" fontId="920" fillId="4" borderId="1" xfId="3" applyNumberFormat="1" applyFont="1" applyFill="1" applyBorder="1" applyAlignment="1" applyProtection="1">
      <alignment horizontal="right" vertical="center" shrinkToFit="1"/>
      <protection locked="0"/>
    </xf>
    <xf numFmtId="176" fontId="918" fillId="3" borderId="2" xfId="1" applyNumberFormat="1" applyFont="1" applyFill="1" applyBorder="1" applyAlignment="1" applyProtection="1">
      <alignment horizontal="center" vertical="center" shrinkToFit="1"/>
      <protection locked="0"/>
    </xf>
    <xf numFmtId="176" fontId="918" fillId="3" borderId="2" xfId="1" applyNumberFormat="1" applyFont="1" applyFill="1" applyBorder="1" applyAlignment="1" applyProtection="1">
      <alignment horizontal="right" vertical="center" shrinkToFit="1"/>
      <protection locked="0"/>
    </xf>
    <xf numFmtId="176" fontId="919" fillId="4" borderId="3" xfId="1" applyNumberFormat="1" applyFont="1" applyFill="1" applyBorder="1" applyAlignment="1" applyProtection="1">
      <alignment horizontal="right" vertical="center" shrinkToFit="1"/>
      <protection locked="0"/>
    </xf>
    <xf numFmtId="176" fontId="918" fillId="3" borderId="42" xfId="1" applyNumberFormat="1" applyFont="1" applyFill="1" applyBorder="1" applyAlignment="1" applyProtection="1">
      <alignment horizontal="right" vertical="center" shrinkToFit="1"/>
      <protection locked="0"/>
    </xf>
    <xf numFmtId="177" fontId="918" fillId="3" borderId="55" xfId="1" applyNumberFormat="1" applyFont="1" applyFill="1" applyBorder="1" applyAlignment="1" applyProtection="1">
      <alignment horizontal="right" vertical="center" shrinkToFit="1"/>
      <protection locked="0"/>
    </xf>
    <xf numFmtId="177" fontId="918" fillId="4" borderId="58" xfId="3" applyNumberFormat="1" applyFont="1" applyFill="1" applyBorder="1" applyAlignment="1" applyProtection="1">
      <alignment horizontal="right" vertical="center" shrinkToFit="1"/>
      <protection locked="0"/>
    </xf>
    <xf numFmtId="177" fontId="918" fillId="4" borderId="59" xfId="3" applyNumberFormat="1" applyFont="1" applyFill="1" applyBorder="1" applyAlignment="1" applyProtection="1">
      <alignment horizontal="right" vertical="center" shrinkToFit="1"/>
      <protection locked="0"/>
    </xf>
    <xf numFmtId="177" fontId="918" fillId="4" borderId="59" xfId="1" applyNumberFormat="1" applyFont="1" applyFill="1" applyBorder="1" applyAlignment="1" applyProtection="1">
      <alignment horizontal="right" vertical="center" shrinkToFit="1"/>
      <protection locked="0"/>
    </xf>
    <xf numFmtId="177" fontId="918" fillId="4" borderId="60" xfId="1" applyNumberFormat="1" applyFont="1" applyFill="1" applyBorder="1" applyAlignment="1" applyProtection="1">
      <alignment horizontal="right" vertical="center" shrinkToFit="1"/>
      <protection locked="0"/>
    </xf>
    <xf numFmtId="177" fontId="918" fillId="3" borderId="62" xfId="3" applyNumberFormat="1" applyFont="1" applyFill="1" applyBorder="1" applyAlignment="1" applyProtection="1">
      <alignment horizontal="right" vertical="center" shrinkToFit="1"/>
      <protection locked="0"/>
    </xf>
    <xf numFmtId="177" fontId="918" fillId="3" borderId="63" xfId="3" applyNumberFormat="1" applyFont="1" applyFill="1" applyBorder="1" applyAlignment="1" applyProtection="1">
      <alignment horizontal="right" vertical="center" shrinkToFit="1"/>
      <protection locked="0"/>
    </xf>
    <xf numFmtId="177" fontId="918" fillId="3" borderId="63" xfId="1" applyNumberFormat="1" applyFont="1" applyFill="1" applyBorder="1" applyAlignment="1" applyProtection="1">
      <alignment horizontal="right" vertical="center" shrinkToFit="1"/>
      <protection locked="0"/>
    </xf>
    <xf numFmtId="177" fontId="918" fillId="3" borderId="64" xfId="1" applyNumberFormat="1" applyFont="1" applyFill="1" applyBorder="1" applyAlignment="1" applyProtection="1">
      <alignment horizontal="right" vertical="center" shrinkToFit="1"/>
      <protection locked="0"/>
    </xf>
    <xf numFmtId="0" fontId="7" fillId="3" borderId="46" xfId="0" applyFont="1" applyFill="1" applyBorder="1" applyAlignment="1">
      <alignment horizontal="center"/>
    </xf>
    <xf numFmtId="0" fontId="7" fillId="3" borderId="43" xfId="0" applyFont="1" applyFill="1" applyBorder="1" applyAlignment="1">
      <alignment horizontal="center"/>
    </xf>
    <xf numFmtId="0" fontId="8" fillId="4" borderId="8" xfId="1" applyFont="1" applyFill="1" applyBorder="1" applyAlignment="1">
      <alignment horizontal="left" vertical="center"/>
    </xf>
    <xf numFmtId="0" fontId="8" fillId="4" borderId="9" xfId="1" applyFont="1" applyFill="1" applyBorder="1" applyAlignment="1">
      <alignment horizontal="left" vertical="center"/>
    </xf>
    <xf numFmtId="177" fontId="918" fillId="4" borderId="55" xfId="1" applyNumberFormat="1" applyFont="1" applyFill="1" applyBorder="1" applyAlignment="1" applyProtection="1">
      <alignment horizontal="right" vertical="center" shrinkToFit="1"/>
      <protection locked="0"/>
    </xf>
    <xf numFmtId="0" fontId="8" fillId="4" borderId="51" xfId="1" applyFont="1" applyFill="1" applyBorder="1" applyAlignment="1">
      <alignment horizontal="left" vertical="center"/>
    </xf>
    <xf numFmtId="0" fontId="8" fillId="4" borderId="11" xfId="1" applyFont="1" applyFill="1" applyBorder="1" applyAlignment="1">
      <alignment horizontal="left" vertical="center"/>
    </xf>
    <xf numFmtId="0" fontId="8" fillId="4" borderId="12" xfId="1" applyFont="1" applyFill="1" applyBorder="1" applyAlignment="1">
      <alignment horizontal="left" vertical="center"/>
    </xf>
    <xf numFmtId="177" fontId="918" fillId="4" borderId="48" xfId="3" applyNumberFormat="1" applyFont="1" applyFill="1" applyBorder="1" applyAlignment="1" applyProtection="1">
      <alignment horizontal="right" vertical="center" shrinkToFit="1"/>
      <protection locked="0"/>
    </xf>
    <xf numFmtId="177" fontId="918" fillId="4" borderId="49" xfId="3" applyNumberFormat="1" applyFont="1" applyFill="1" applyBorder="1" applyAlignment="1" applyProtection="1">
      <alignment horizontal="right" vertical="center" shrinkToFit="1"/>
      <protection locked="0"/>
    </xf>
    <xf numFmtId="177" fontId="918" fillId="4" borderId="49" xfId="1" applyNumberFormat="1" applyFont="1" applyFill="1" applyBorder="1" applyAlignment="1" applyProtection="1">
      <alignment horizontal="right" vertical="center" shrinkToFit="1"/>
      <protection locked="0"/>
    </xf>
    <xf numFmtId="177" fontId="918" fillId="4" borderId="50" xfId="1" applyNumberFormat="1" applyFont="1" applyFill="1" applyBorder="1" applyAlignment="1" applyProtection="1">
      <alignment horizontal="right" vertical="center" shrinkToFit="1"/>
      <protection locked="0"/>
    </xf>
    <xf numFmtId="0" fontId="8" fillId="3" borderId="8" xfId="1" applyFont="1" applyFill="1" applyBorder="1" applyAlignment="1">
      <alignment horizontal="left" vertical="center"/>
    </xf>
    <xf numFmtId="0" fontId="8" fillId="3" borderId="24" xfId="1" applyFont="1" applyFill="1" applyBorder="1" applyAlignment="1">
      <alignment horizontal="left" vertical="center"/>
    </xf>
    <xf numFmtId="176" fontId="919" fillId="4" borderId="48" xfId="3" applyNumberFormat="1" applyFont="1" applyFill="1" applyBorder="1" applyAlignment="1" applyProtection="1">
      <alignment horizontal="right" vertical="center" shrinkToFit="1"/>
      <protection locked="0"/>
    </xf>
    <xf numFmtId="176" fontId="918" fillId="4" borderId="49" xfId="3" applyNumberFormat="1" applyFont="1" applyFill="1" applyBorder="1" applyAlignment="1" applyProtection="1">
      <alignment horizontal="right" vertical="center" shrinkToFit="1"/>
      <protection locked="0"/>
    </xf>
    <xf numFmtId="176" fontId="919" fillId="4" borderId="49" xfId="3" applyNumberFormat="1" applyFont="1" applyFill="1" applyBorder="1" applyAlignment="1" applyProtection="1">
      <alignment horizontal="right" vertical="center" shrinkToFit="1"/>
      <protection locked="0"/>
    </xf>
    <xf numFmtId="176" fontId="918" fillId="4" borderId="49" xfId="1" applyNumberFormat="1" applyFont="1" applyFill="1" applyBorder="1" applyAlignment="1" applyProtection="1">
      <alignment horizontal="right" vertical="center" shrinkToFit="1"/>
      <protection locked="0"/>
    </xf>
    <xf numFmtId="176" fontId="918" fillId="4" borderId="50" xfId="1" applyNumberFormat="1" applyFont="1" applyFill="1" applyBorder="1" applyAlignment="1" applyProtection="1">
      <alignment horizontal="right" vertical="center" shrinkToFit="1"/>
      <protection locked="0"/>
    </xf>
    <xf numFmtId="176" fontId="919" fillId="3" borderId="19" xfId="3" applyNumberFormat="1" applyFont="1" applyFill="1" applyBorder="1" applyAlignment="1" applyProtection="1">
      <alignment horizontal="right" vertical="center" shrinkToFit="1"/>
      <protection locked="0"/>
    </xf>
    <xf numFmtId="176" fontId="919" fillId="3" borderId="20" xfId="3" applyNumberFormat="1" applyFont="1" applyFill="1" applyBorder="1" applyAlignment="1" applyProtection="1">
      <alignment horizontal="right" vertical="center" shrinkToFit="1"/>
      <protection locked="0"/>
    </xf>
    <xf numFmtId="176" fontId="920" fillId="3" borderId="20" xfId="1" applyNumberFormat="1" applyFont="1" applyFill="1" applyBorder="1" applyAlignment="1" applyProtection="1">
      <alignment horizontal="right" vertical="center" shrinkToFit="1"/>
      <protection locked="0"/>
    </xf>
    <xf numFmtId="176" fontId="920" fillId="3" borderId="21" xfId="1" applyNumberFormat="1" applyFont="1" applyFill="1" applyBorder="1" applyAlignment="1" applyProtection="1">
      <alignment horizontal="right" vertical="center" shrinkToFit="1"/>
      <protection locked="0"/>
    </xf>
    <xf numFmtId="176" fontId="920" fillId="3" borderId="31" xfId="3" applyNumberFormat="1" applyFont="1" applyFill="1" applyBorder="1" applyAlignment="1" applyProtection="1">
      <alignment horizontal="right" vertical="center" shrinkToFit="1"/>
      <protection locked="0"/>
    </xf>
    <xf numFmtId="176" fontId="920" fillId="3" borderId="32" xfId="3" applyNumberFormat="1" applyFont="1" applyFill="1" applyBorder="1" applyAlignment="1" applyProtection="1">
      <alignment horizontal="right" vertical="center" shrinkToFit="1"/>
      <protection locked="0"/>
    </xf>
    <xf numFmtId="176" fontId="919" fillId="3" borderId="32" xfId="1" applyNumberFormat="1" applyFont="1" applyFill="1" applyBorder="1" applyAlignment="1" applyProtection="1">
      <alignment horizontal="right" vertical="center" shrinkToFit="1"/>
      <protection locked="0"/>
    </xf>
    <xf numFmtId="176" fontId="919" fillId="3" borderId="8" xfId="1" applyNumberFormat="1" applyFont="1" applyFill="1" applyBorder="1" applyAlignment="1" applyProtection="1">
      <alignment horizontal="right" vertical="center" shrinkToFit="1"/>
      <protection locked="0"/>
    </xf>
    <xf numFmtId="176" fontId="919" fillId="3" borderId="24" xfId="1" applyNumberFormat="1" applyFont="1" applyFill="1" applyBorder="1" applyAlignment="1" applyProtection="1">
      <alignment horizontal="right" vertical="center" shrinkToFit="1"/>
      <protection locked="0"/>
    </xf>
    <xf numFmtId="176" fontId="918" fillId="4" borderId="48" xfId="3" applyNumberFormat="1" applyFont="1" applyFill="1" applyBorder="1" applyAlignment="1" applyProtection="1">
      <alignment horizontal="right" vertical="center" shrinkToFit="1"/>
      <protection locked="0"/>
    </xf>
    <xf numFmtId="176" fontId="919" fillId="4" borderId="50" xfId="1" applyNumberFormat="1" applyFont="1" applyFill="1" applyBorder="1" applyAlignment="1" applyProtection="1">
      <alignment horizontal="right" vertical="center" shrinkToFit="1"/>
      <protection locked="0"/>
    </xf>
    <xf numFmtId="0" fontId="8" fillId="3" borderId="66" xfId="1" applyFont="1" applyFill="1" applyBorder="1" applyAlignment="1">
      <alignment horizontal="left" vertical="center"/>
    </xf>
    <xf numFmtId="176" fontId="919" fillId="3" borderId="31" xfId="3" applyNumberFormat="1" applyFont="1" applyFill="1" applyBorder="1" applyAlignment="1" applyProtection="1">
      <alignment horizontal="right" vertical="center" shrinkToFit="1"/>
      <protection locked="0"/>
    </xf>
    <xf numFmtId="176" fontId="919" fillId="3" borderId="32" xfId="3" applyNumberFormat="1" applyFont="1" applyFill="1" applyBorder="1" applyAlignment="1" applyProtection="1">
      <alignment horizontal="right" vertical="center" shrinkToFit="1"/>
      <protection locked="0"/>
    </xf>
    <xf numFmtId="176" fontId="919" fillId="3" borderId="55" xfId="1" applyNumberFormat="1" applyFont="1" applyFill="1" applyBorder="1" applyAlignment="1" applyProtection="1">
      <alignment horizontal="right" vertical="center" shrinkToFit="1"/>
      <protection locked="0"/>
    </xf>
    <xf numFmtId="0" fontId="7" fillId="3" borderId="54" xfId="1" applyFont="1" applyFill="1" applyBorder="1" applyAlignment="1">
      <alignment vertical="center"/>
    </xf>
    <xf numFmtId="0" fontId="8" fillId="3" borderId="0" xfId="1" applyFont="1" applyFill="1" applyBorder="1" applyAlignment="1">
      <alignment horizontal="left" vertical="center" wrapText="1"/>
    </xf>
    <xf numFmtId="0" fontId="8" fillId="3" borderId="53" xfId="1" applyFont="1" applyFill="1" applyBorder="1" applyAlignment="1">
      <alignment horizontal="left" vertical="center" wrapText="1"/>
    </xf>
    <xf numFmtId="0" fontId="7" fillId="3" borderId="25" xfId="0" applyFont="1" applyFill="1" applyBorder="1" applyAlignment="1">
      <alignment horizontal="center"/>
    </xf>
    <xf numFmtId="177" fontId="918" fillId="0" borderId="1" xfId="1" applyNumberFormat="1" applyFont="1" applyFill="1" applyBorder="1" applyAlignment="1" applyProtection="1">
      <alignment horizontal="right" vertical="center" shrinkToFit="1"/>
      <protection locked="0"/>
    </xf>
    <xf numFmtId="177" fontId="918" fillId="0" borderId="32" xfId="1" applyNumberFormat="1" applyFont="1" applyFill="1" applyBorder="1" applyAlignment="1" applyProtection="1">
      <alignment horizontal="right" vertical="center" shrinkToFit="1"/>
      <protection locked="0"/>
    </xf>
    <xf numFmtId="177" fontId="918" fillId="4" borderId="52" xfId="1" applyNumberFormat="1" applyFont="1" applyFill="1" applyBorder="1" applyAlignment="1" applyProtection="1">
      <alignment horizontal="right" vertical="center" shrinkToFit="1"/>
      <protection locked="0"/>
    </xf>
    <xf numFmtId="176" fontId="921" fillId="3" borderId="16" xfId="3" applyNumberFormat="1" applyFont="1" applyFill="1" applyBorder="1" applyAlignment="1" applyProtection="1">
      <alignment horizontal="center" vertical="center" shrinkToFit="1"/>
      <protection locked="0"/>
    </xf>
    <xf numFmtId="0" fontId="9" fillId="7" borderId="67" xfId="0" applyFont="1" applyFill="1" applyBorder="1" applyAlignment="1">
      <alignment horizontal="center" vertical="center"/>
    </xf>
    <xf numFmtId="0" fontId="7" fillId="3" borderId="68" xfId="0" applyFont="1" applyFill="1" applyBorder="1" applyAlignment="1">
      <alignment horizontal="center"/>
    </xf>
    <xf numFmtId="177" fontId="918" fillId="4" borderId="67" xfId="1" applyNumberFormat="1" applyFont="1" applyFill="1" applyBorder="1" applyAlignment="1" applyProtection="1">
      <alignment horizontal="right" vertical="center" shrinkToFit="1"/>
      <protection locked="0"/>
    </xf>
    <xf numFmtId="177" fontId="918" fillId="3" borderId="52" xfId="1" applyNumberFormat="1" applyFont="1" applyFill="1" applyBorder="1" applyAlignment="1" applyProtection="1">
      <alignment horizontal="right" vertical="center" shrinkToFit="1"/>
      <protection locked="0"/>
    </xf>
    <xf numFmtId="177" fontId="918" fillId="3" borderId="69" xfId="1" applyNumberFormat="1" applyFont="1" applyFill="1" applyBorder="1" applyAlignment="1" applyProtection="1">
      <alignment horizontal="right" vertical="center" shrinkToFit="1"/>
      <protection locked="0"/>
    </xf>
    <xf numFmtId="177" fontId="918" fillId="3" borderId="70" xfId="1" applyNumberFormat="1" applyFont="1" applyFill="1" applyBorder="1" applyAlignment="1" applyProtection="1">
      <alignment horizontal="right" vertical="center" shrinkToFit="1"/>
      <protection locked="0"/>
    </xf>
    <xf numFmtId="0" fontId="9" fillId="7" borderId="1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7" fillId="3" borderId="27" xfId="0" applyFont="1" applyFill="1" applyBorder="1"/>
    <xf numFmtId="0" fontId="7" fillId="3" borderId="0" xfId="0" applyFont="1" applyFill="1" applyBorder="1"/>
    <xf numFmtId="0" fontId="7" fillId="3" borderId="0" xfId="0" applyFont="1" applyFill="1"/>
    <xf numFmtId="180" fontId="921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right"/>
    </xf>
    <xf numFmtId="181" fontId="921" fillId="3" borderId="0" xfId="0" applyNumberFormat="1" applyFont="1" applyFill="1" applyAlignment="1">
      <alignment horizontal="right"/>
    </xf>
    <xf numFmtId="177" fontId="921" fillId="3" borderId="17" xfId="1" applyNumberFormat="1" applyFont="1" applyFill="1" applyBorder="1" applyAlignment="1" applyProtection="1">
      <alignment horizontal="right" vertical="center" shrinkToFit="1"/>
      <protection locked="0"/>
    </xf>
    <xf numFmtId="177" fontId="918" fillId="3" borderId="2" xfId="1" applyNumberFormat="1" applyFont="1" applyFill="1" applyBorder="1" applyAlignment="1" applyProtection="1">
      <alignment horizontal="right" vertical="center" shrinkToFit="1"/>
      <protection locked="0"/>
    </xf>
    <xf numFmtId="0" fontId="9" fillId="7" borderId="12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7" fontId="4" fillId="3" borderId="0" xfId="0" applyNumberFormat="1" applyFont="1" applyFill="1"/>
    <xf numFmtId="177" fontId="918" fillId="3" borderId="71" xfId="3" applyNumberFormat="1" applyFont="1" applyFill="1" applyBorder="1" applyAlignment="1" applyProtection="1">
      <alignment horizontal="right" vertical="center" shrinkToFit="1"/>
      <protection locked="0"/>
    </xf>
    <xf numFmtId="0" fontId="8" fillId="2" borderId="27" xfId="1" applyFont="1" applyFill="1" applyBorder="1" applyAlignment="1">
      <alignment horizontal="left" vertical="top"/>
    </xf>
    <xf numFmtId="0" fontId="8" fillId="2" borderId="0" xfId="1" applyFont="1" applyFill="1" applyBorder="1" applyAlignment="1">
      <alignment horizontal="left" vertical="top"/>
    </xf>
    <xf numFmtId="0" fontId="8" fillId="2" borderId="7" xfId="1" applyFont="1" applyFill="1" applyBorder="1" applyAlignment="1">
      <alignment horizontal="left" vertical="top"/>
    </xf>
    <xf numFmtId="177" fontId="918" fillId="0" borderId="2" xfId="1" applyNumberFormat="1" applyFont="1" applyFill="1" applyBorder="1" applyAlignment="1" applyProtection="1">
      <alignment horizontal="right" vertical="center" shrinkToFit="1"/>
      <protection locked="0"/>
    </xf>
    <xf numFmtId="0" fontId="922" fillId="0" borderId="0" xfId="0" applyFont="1" applyFill="1" applyBorder="1" applyAlignment="1">
      <alignment horizontal="center" vertical="center"/>
    </xf>
    <xf numFmtId="177" fontId="918" fillId="4" borderId="51" xfId="3" applyNumberFormat="1" applyFont="1" applyFill="1" applyBorder="1" applyAlignment="1" applyProtection="1">
      <alignment horizontal="right" vertical="center" shrinkToFit="1"/>
      <protection locked="0"/>
    </xf>
    <xf numFmtId="0" fontId="8" fillId="3" borderId="72" xfId="1" applyFont="1" applyFill="1" applyBorder="1" applyAlignment="1">
      <alignment horizontal="left" vertical="center"/>
    </xf>
    <xf numFmtId="0" fontId="8" fillId="3" borderId="32" xfId="1" applyFont="1" applyFill="1" applyBorder="1" applyAlignment="1">
      <alignment horizontal="left" vertical="center"/>
    </xf>
    <xf numFmtId="0" fontId="8" fillId="5" borderId="4" xfId="1" applyFont="1" applyFill="1" applyBorder="1" applyAlignment="1">
      <alignment horizontal="left" vertical="center"/>
    </xf>
    <xf numFmtId="0" fontId="8" fillId="5" borderId="3" xfId="1" applyFont="1" applyFill="1" applyBorder="1" applyAlignment="1">
      <alignment horizontal="left" vertical="center"/>
    </xf>
    <xf numFmtId="177" fontId="918" fillId="5" borderId="16" xfId="3" applyNumberFormat="1" applyFont="1" applyFill="1" applyBorder="1" applyAlignment="1" applyProtection="1">
      <alignment horizontal="right" vertical="center" shrinkToFit="1"/>
      <protection locked="0"/>
    </xf>
    <xf numFmtId="177" fontId="918" fillId="5" borderId="1" xfId="3" applyNumberFormat="1" applyFont="1" applyFill="1" applyBorder="1" applyAlignment="1" applyProtection="1">
      <alignment horizontal="right" vertical="center" shrinkToFit="1"/>
      <protection locked="0"/>
    </xf>
    <xf numFmtId="177" fontId="918" fillId="5" borderId="1" xfId="1" applyNumberFormat="1" applyFont="1" applyFill="1" applyBorder="1" applyAlignment="1" applyProtection="1">
      <alignment horizontal="right" vertical="center" shrinkToFit="1"/>
      <protection locked="0"/>
    </xf>
    <xf numFmtId="177" fontId="918" fillId="5" borderId="18" xfId="1" applyNumberFormat="1" applyFont="1" applyFill="1" applyBorder="1" applyAlignment="1" applyProtection="1">
      <alignment horizontal="right" vertical="center" shrinkToFit="1"/>
      <protection locked="0"/>
    </xf>
    <xf numFmtId="0" fontId="8" fillId="5" borderId="45" xfId="1" applyFont="1" applyFill="1" applyBorder="1" applyAlignment="1">
      <alignment horizontal="left" vertical="center"/>
    </xf>
    <xf numFmtId="179" fontId="918" fillId="5" borderId="16" xfId="3" applyNumberFormat="1" applyFont="1" applyFill="1" applyBorder="1" applyAlignment="1" applyProtection="1">
      <alignment horizontal="right" vertical="center" shrinkToFit="1"/>
      <protection locked="0"/>
    </xf>
    <xf numFmtId="179" fontId="918" fillId="5" borderId="1" xfId="3" applyNumberFormat="1" applyFont="1" applyFill="1" applyBorder="1" applyAlignment="1" applyProtection="1">
      <alignment horizontal="right" vertical="center" shrinkToFit="1"/>
      <protection locked="0"/>
    </xf>
    <xf numFmtId="179" fontId="918" fillId="5" borderId="1" xfId="1" applyNumberFormat="1" applyFont="1" applyFill="1" applyBorder="1" applyAlignment="1" applyProtection="1">
      <alignment horizontal="right" vertical="center" shrinkToFit="1"/>
      <protection locked="0"/>
    </xf>
    <xf numFmtId="179" fontId="918" fillId="5" borderId="46" xfId="1" applyNumberFormat="1" applyFont="1" applyFill="1" applyBorder="1" applyAlignment="1" applyProtection="1">
      <alignment horizontal="right" vertical="center" shrinkToFit="1"/>
      <protection locked="0"/>
    </xf>
    <xf numFmtId="0" fontId="8" fillId="2" borderId="27" xfId="1" applyFont="1" applyFill="1" applyBorder="1" applyAlignment="1">
      <alignment horizontal="left" vertical="top"/>
    </xf>
    <xf numFmtId="0" fontId="8" fillId="2" borderId="0" xfId="1" applyFont="1" applyFill="1" applyBorder="1" applyAlignment="1">
      <alignment horizontal="left" vertical="top"/>
    </xf>
    <xf numFmtId="0" fontId="8" fillId="2" borderId="7" xfId="1" applyFont="1" applyFill="1" applyBorder="1" applyAlignment="1">
      <alignment horizontal="left" vertical="top"/>
    </xf>
    <xf numFmtId="177" fontId="918" fillId="5" borderId="3" xfId="1" applyNumberFormat="1" applyFont="1" applyFill="1" applyBorder="1" applyAlignment="1" applyProtection="1">
      <alignment horizontal="right" vertical="center" shrinkToFit="1"/>
      <protection locked="0"/>
    </xf>
    <xf numFmtId="177" fontId="918" fillId="3" borderId="45" xfId="1" applyNumberFormat="1" applyFont="1" applyFill="1" applyBorder="1" applyAlignment="1" applyProtection="1">
      <alignment horizontal="right" vertical="center" shrinkToFit="1"/>
      <protection locked="0"/>
    </xf>
    <xf numFmtId="179" fontId="918" fillId="5" borderId="2" xfId="1" applyNumberFormat="1" applyFont="1" applyFill="1" applyBorder="1" applyAlignment="1" applyProtection="1">
      <alignment horizontal="right" vertical="center" shrinkToFit="1"/>
      <protection locked="0"/>
    </xf>
    <xf numFmtId="177" fontId="918" fillId="0" borderId="45" xfId="1" applyNumberFormat="1" applyFont="1" applyFill="1" applyBorder="1" applyAlignment="1" applyProtection="1">
      <alignment horizontal="right" vertical="center" shrinkToFit="1"/>
      <protection locked="0"/>
    </xf>
    <xf numFmtId="0" fontId="7" fillId="3" borderId="73" xfId="0" applyFont="1" applyFill="1" applyBorder="1" applyAlignment="1">
      <alignment horizontal="center"/>
    </xf>
    <xf numFmtId="177" fontId="918" fillId="5" borderId="52" xfId="1" applyNumberFormat="1" applyFont="1" applyFill="1" applyBorder="1" applyAlignment="1" applyProtection="1">
      <alignment horizontal="right" vertical="center" shrinkToFit="1"/>
      <protection locked="0"/>
    </xf>
    <xf numFmtId="177" fontId="921" fillId="3" borderId="52" xfId="1" applyNumberFormat="1" applyFont="1" applyFill="1" applyBorder="1" applyAlignment="1" applyProtection="1">
      <alignment horizontal="right" vertical="center" shrinkToFit="1"/>
      <protection locked="0"/>
    </xf>
    <xf numFmtId="178" fontId="918" fillId="5" borderId="52" xfId="1" applyNumberFormat="1" applyFont="1" applyFill="1" applyBorder="1" applyAlignment="1" applyProtection="1">
      <alignment horizontal="right" vertical="center" shrinkToFit="1"/>
      <protection locked="0"/>
    </xf>
    <xf numFmtId="177" fontId="918" fillId="3" borderId="17" xfId="1" applyNumberFormat="1" applyFont="1" applyFill="1" applyBorder="1" applyAlignment="1" applyProtection="1">
      <alignment horizontal="right" vertical="center" shrinkToFit="1"/>
      <protection locked="0"/>
    </xf>
    <xf numFmtId="177" fontId="918" fillId="5" borderId="17" xfId="1" applyNumberFormat="1" applyFont="1" applyFill="1" applyBorder="1" applyAlignment="1" applyProtection="1">
      <alignment horizontal="right" vertical="center" shrinkToFit="1"/>
      <protection locked="0"/>
    </xf>
    <xf numFmtId="177" fontId="918" fillId="4" borderId="12" xfId="1" applyNumberFormat="1" applyFont="1" applyFill="1" applyBorder="1" applyAlignment="1" applyProtection="1">
      <alignment horizontal="right" vertical="center" shrinkToFit="1"/>
      <protection locked="0"/>
    </xf>
    <xf numFmtId="180" fontId="4" fillId="3" borderId="0" xfId="0" applyNumberFormat="1" applyFont="1" applyFill="1"/>
    <xf numFmtId="0" fontId="921" fillId="0" borderId="0" xfId="0" applyFont="1" applyFill="1" applyBorder="1" applyAlignment="1">
      <alignment vertical="center"/>
    </xf>
    <xf numFmtId="177" fontId="918" fillId="3" borderId="74" xfId="1" applyNumberFormat="1" applyFont="1" applyFill="1" applyBorder="1" applyAlignment="1" applyProtection="1">
      <alignment horizontal="right" vertical="center" shrinkToFit="1"/>
      <protection locked="0"/>
    </xf>
    <xf numFmtId="177" fontId="918" fillId="3" borderId="75" xfId="1" applyNumberFormat="1" applyFont="1" applyFill="1" applyBorder="1" applyAlignment="1" applyProtection="1">
      <alignment horizontal="right" vertical="center" shrinkToFit="1"/>
      <protection locked="0"/>
    </xf>
    <xf numFmtId="0" fontId="7" fillId="3" borderId="57" xfId="0" applyFont="1" applyFill="1" applyBorder="1" applyAlignment="1">
      <alignment horizontal="center"/>
    </xf>
    <xf numFmtId="0" fontId="7" fillId="3" borderId="37" xfId="1" applyFont="1" applyFill="1" applyBorder="1" applyAlignment="1">
      <alignment vertical="center"/>
    </xf>
    <xf numFmtId="183" fontId="921" fillId="3" borderId="58" xfId="0" applyNumberFormat="1" applyFont="1" applyFill="1" applyBorder="1" applyAlignment="1"/>
    <xf numFmtId="183" fontId="921" fillId="3" borderId="59" xfId="0" applyNumberFormat="1" applyFont="1" applyFill="1" applyBorder="1" applyAlignment="1"/>
    <xf numFmtId="183" fontId="921" fillId="3" borderId="78" xfId="0" applyNumberFormat="1" applyFont="1" applyFill="1" applyBorder="1" applyAlignment="1">
      <alignment horizontal="center"/>
    </xf>
    <xf numFmtId="177" fontId="918" fillId="3" borderId="79" xfId="1" applyNumberFormat="1" applyFont="1" applyFill="1" applyBorder="1" applyAlignment="1" applyProtection="1">
      <alignment horizontal="right" vertical="center" shrinkToFit="1"/>
      <protection locked="0"/>
    </xf>
    <xf numFmtId="183" fontId="921" fillId="3" borderId="58" xfId="0" applyNumberFormat="1" applyFont="1" applyFill="1" applyBorder="1" applyAlignment="1">
      <alignment horizontal="right"/>
    </xf>
    <xf numFmtId="183" fontId="921" fillId="3" borderId="59" xfId="0" applyNumberFormat="1" applyFont="1" applyFill="1" applyBorder="1" applyAlignment="1">
      <alignment horizontal="right"/>
    </xf>
    <xf numFmtId="183" fontId="921" fillId="0" borderId="59" xfId="0" applyNumberFormat="1" applyFont="1" applyFill="1" applyBorder="1" applyAlignment="1">
      <alignment horizontal="right"/>
    </xf>
    <xf numFmtId="177" fontId="918" fillId="3" borderId="80" xfId="1" applyNumberFormat="1" applyFont="1" applyFill="1" applyBorder="1" applyAlignment="1" applyProtection="1">
      <alignment horizontal="right" vertical="center" shrinkToFit="1"/>
      <protection locked="0"/>
    </xf>
    <xf numFmtId="183" fontId="921" fillId="3" borderId="77" xfId="0" applyNumberFormat="1" applyFont="1" applyFill="1" applyBorder="1" applyAlignment="1">
      <alignment horizontal="right"/>
    </xf>
    <xf numFmtId="178" fontId="918" fillId="3" borderId="2" xfId="3" applyNumberFormat="1" applyFont="1" applyFill="1" applyBorder="1" applyAlignment="1" applyProtection="1">
      <alignment horizontal="right" vertical="center" shrinkToFit="1"/>
      <protection locked="0"/>
    </xf>
    <xf numFmtId="177" fontId="918" fillId="5" borderId="2" xfId="1" applyNumberFormat="1" applyFont="1" applyFill="1" applyBorder="1" applyAlignment="1" applyProtection="1">
      <alignment horizontal="right" vertical="center" shrinkToFit="1"/>
      <protection locked="0"/>
    </xf>
    <xf numFmtId="0" fontId="7" fillId="3" borderId="81" xfId="0" applyFont="1" applyFill="1" applyBorder="1" applyAlignment="1">
      <alignment horizontal="center"/>
    </xf>
    <xf numFmtId="179" fontId="918" fillId="5" borderId="17" xfId="1" applyNumberFormat="1" applyFont="1" applyFill="1" applyBorder="1" applyAlignment="1" applyProtection="1">
      <alignment horizontal="right" vertical="center" shrinkToFit="1"/>
      <protection locked="0"/>
    </xf>
    <xf numFmtId="177" fontId="918" fillId="3" borderId="76" xfId="1" applyNumberFormat="1" applyFont="1" applyFill="1" applyBorder="1" applyAlignment="1" applyProtection="1">
      <alignment horizontal="right" vertical="center" shrinkToFit="1"/>
      <protection locked="0"/>
    </xf>
    <xf numFmtId="177" fontId="918" fillId="3" borderId="2" xfId="3" applyNumberFormat="1" applyFont="1" applyFill="1" applyBorder="1" applyAlignment="1" applyProtection="1">
      <alignment horizontal="right" vertical="center" shrinkToFit="1"/>
      <protection locked="0"/>
    </xf>
    <xf numFmtId="184" fontId="918" fillId="3" borderId="31" xfId="3" applyNumberFormat="1" applyFont="1" applyFill="1" applyBorder="1" applyAlignment="1" applyProtection="1">
      <alignment horizontal="right" vertical="center" shrinkToFit="1"/>
      <protection locked="0"/>
    </xf>
    <xf numFmtId="184" fontId="918" fillId="3" borderId="71" xfId="3" applyNumberFormat="1" applyFont="1" applyFill="1" applyBorder="1" applyAlignment="1" applyProtection="1">
      <alignment horizontal="right" vertical="center" shrinkToFit="1"/>
      <protection locked="0"/>
    </xf>
    <xf numFmtId="184" fontId="918" fillId="3" borderId="1" xfId="3" applyNumberFormat="1" applyFont="1" applyFill="1" applyBorder="1" applyAlignment="1" applyProtection="1">
      <alignment horizontal="right" vertical="center" shrinkToFit="1"/>
      <protection locked="0"/>
    </xf>
    <xf numFmtId="177" fontId="918" fillId="0" borderId="52" xfId="1" applyNumberFormat="1" applyFont="1" applyFill="1" applyBorder="1" applyAlignment="1" applyProtection="1">
      <alignment horizontal="right" vertical="center" shrinkToFit="1"/>
      <protection locked="0"/>
    </xf>
    <xf numFmtId="178" fontId="918" fillId="3" borderId="15" xfId="3" applyNumberFormat="1" applyFont="1" applyFill="1" applyBorder="1" applyAlignment="1" applyProtection="1">
      <alignment horizontal="right" vertical="center" shrinkToFit="1"/>
      <protection locked="0"/>
    </xf>
    <xf numFmtId="0" fontId="7" fillId="3" borderId="78" xfId="0" applyFont="1" applyFill="1" applyBorder="1" applyAlignment="1">
      <alignment horizontal="center"/>
    </xf>
    <xf numFmtId="179" fontId="918" fillId="5" borderId="52" xfId="1" applyNumberFormat="1" applyFont="1" applyFill="1" applyBorder="1" applyAlignment="1" applyProtection="1">
      <alignment horizontal="right" vertical="center" shrinkToFit="1"/>
      <protection locked="0"/>
    </xf>
    <xf numFmtId="177" fontId="918" fillId="0" borderId="18" xfId="1" applyNumberFormat="1" applyFont="1" applyFill="1" applyBorder="1" applyAlignment="1" applyProtection="1">
      <alignment horizontal="right" vertical="center" shrinkToFit="1"/>
      <protection locked="0"/>
    </xf>
    <xf numFmtId="0" fontId="8" fillId="3" borderId="45" xfId="1" applyFont="1" applyFill="1" applyBorder="1" applyAlignment="1">
      <alignment horizontal="left" vertical="center"/>
    </xf>
    <xf numFmtId="0" fontId="8" fillId="3" borderId="3" xfId="1" applyFont="1" applyFill="1" applyBorder="1" applyAlignment="1">
      <alignment horizontal="left" vertical="center"/>
    </xf>
    <xf numFmtId="0" fontId="8" fillId="3" borderId="15" xfId="1" applyFont="1" applyFill="1" applyBorder="1" applyAlignment="1">
      <alignment horizontal="left" vertical="center"/>
    </xf>
    <xf numFmtId="0" fontId="8" fillId="3" borderId="9" xfId="1" applyFont="1" applyFill="1" applyBorder="1" applyAlignment="1">
      <alignment horizontal="left" vertical="center"/>
    </xf>
    <xf numFmtId="177" fontId="918" fillId="3" borderId="3" xfId="1" applyNumberFormat="1" applyFont="1" applyFill="1" applyBorder="1" applyAlignment="1" applyProtection="1">
      <alignment horizontal="right" vertical="center" shrinkToFit="1"/>
      <protection locked="0"/>
    </xf>
    <xf numFmtId="183" fontId="921" fillId="3" borderId="77" xfId="0" applyNumberFormat="1" applyFont="1" applyFill="1" applyBorder="1" applyAlignment="1"/>
    <xf numFmtId="184" fontId="918" fillId="3" borderId="2" xfId="3" applyNumberFormat="1" applyFont="1" applyFill="1" applyBorder="1" applyAlignment="1" applyProtection="1">
      <alignment horizontal="right" vertical="center" shrinkToFit="1"/>
      <protection locked="0"/>
    </xf>
    <xf numFmtId="179" fontId="918" fillId="5" borderId="4" xfId="1" applyNumberFormat="1" applyFont="1" applyFill="1" applyBorder="1" applyAlignment="1" applyProtection="1">
      <alignment horizontal="right" vertical="center" shrinkToFit="1"/>
      <protection locked="0"/>
    </xf>
    <xf numFmtId="183" fontId="921" fillId="3" borderId="81" xfId="0" applyNumberFormat="1" applyFont="1" applyFill="1" applyBorder="1" applyAlignment="1">
      <alignment horizontal="center"/>
    </xf>
    <xf numFmtId="177" fontId="918" fillId="0" borderId="17" xfId="1" applyNumberFormat="1" applyFont="1" applyFill="1" applyBorder="1" applyAlignment="1" applyProtection="1">
      <alignment horizontal="right" vertical="center" shrinkToFit="1"/>
      <protection locked="0"/>
    </xf>
    <xf numFmtId="177" fontId="918" fillId="0" borderId="3" xfId="1" applyNumberFormat="1" applyFont="1" applyFill="1" applyBorder="1" applyAlignment="1" applyProtection="1">
      <alignment horizontal="right" vertical="center" shrinkToFit="1"/>
      <protection locked="0"/>
    </xf>
    <xf numFmtId="179" fontId="918" fillId="5" borderId="3" xfId="1" applyNumberFormat="1" applyFont="1" applyFill="1" applyBorder="1" applyAlignment="1" applyProtection="1">
      <alignment horizontal="right" vertical="center" shrinkToFit="1"/>
      <protection locked="0"/>
    </xf>
    <xf numFmtId="184" fontId="918" fillId="3" borderId="18" xfId="3" applyNumberFormat="1" applyFont="1" applyFill="1" applyBorder="1" applyAlignment="1" applyProtection="1">
      <alignment horizontal="right" vertical="center" shrinkToFit="1"/>
      <protection locked="0"/>
    </xf>
    <xf numFmtId="183" fontId="921" fillId="3" borderId="60" xfId="0" applyNumberFormat="1" applyFont="1" applyFill="1" applyBorder="1" applyAlignment="1">
      <alignment horizontal="right"/>
    </xf>
    <xf numFmtId="177" fontId="918" fillId="3" borderId="45" xfId="3" applyNumberFormat="1" applyFont="1" applyFill="1" applyBorder="1" applyAlignment="1" applyProtection="1">
      <alignment horizontal="right" vertical="center" shrinkToFit="1"/>
      <protection locked="0"/>
    </xf>
    <xf numFmtId="177" fontId="918" fillId="3" borderId="18" xfId="3" applyNumberFormat="1" applyFont="1" applyFill="1" applyBorder="1" applyAlignment="1" applyProtection="1">
      <alignment horizontal="right" vertical="center" shrinkToFit="1"/>
      <protection locked="0"/>
    </xf>
    <xf numFmtId="177" fontId="918" fillId="3" borderId="40" xfId="1" applyNumberFormat="1" applyFont="1" applyFill="1" applyBorder="1" applyAlignment="1" applyProtection="1">
      <alignment horizontal="right" vertical="center" shrinkToFit="1"/>
      <protection locked="0"/>
    </xf>
    <xf numFmtId="178" fontId="918" fillId="3" borderId="18" xfId="3" applyNumberFormat="1" applyFont="1" applyFill="1" applyBorder="1" applyAlignment="1" applyProtection="1">
      <alignment horizontal="right" vertical="center" shrinkToFit="1"/>
      <protection locked="0"/>
    </xf>
    <xf numFmtId="179" fontId="918" fillId="5" borderId="43" xfId="1" applyNumberFormat="1" applyFont="1" applyFill="1" applyBorder="1" applyAlignment="1" applyProtection="1">
      <alignment horizontal="right" vertical="center" shrinkToFit="1"/>
      <protection locked="0"/>
    </xf>
    <xf numFmtId="0" fontId="7" fillId="0" borderId="0" xfId="0" applyFont="1" applyFill="1"/>
    <xf numFmtId="0" fontId="4" fillId="0" borderId="0" xfId="0" applyFont="1" applyFill="1"/>
    <xf numFmtId="177" fontId="918" fillId="3" borderId="42" xfId="1" applyNumberFormat="1" applyFont="1" applyFill="1" applyBorder="1" applyAlignment="1" applyProtection="1">
      <alignment horizontal="right" vertical="center" shrinkToFit="1"/>
      <protection locked="0"/>
    </xf>
    <xf numFmtId="177" fontId="918" fillId="3" borderId="29" xfId="1" applyNumberFormat="1" applyFont="1" applyFill="1" applyBorder="1" applyAlignment="1" applyProtection="1">
      <alignment horizontal="right" vertical="center" shrinkToFit="1"/>
      <protection locked="0"/>
    </xf>
    <xf numFmtId="0" fontId="4" fillId="3" borderId="0" xfId="0" applyFont="1" applyFill="1" applyAlignment="1">
      <alignment horizontal="left"/>
    </xf>
    <xf numFmtId="182" fontId="921" fillId="0" borderId="0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8" fillId="3" borderId="45" xfId="1" applyFont="1" applyFill="1" applyBorder="1" applyAlignment="1">
      <alignment horizontal="left" vertical="center"/>
    </xf>
    <xf numFmtId="0" fontId="8" fillId="3" borderId="3" xfId="1" applyFont="1" applyFill="1" applyBorder="1" applyAlignment="1">
      <alignment horizontal="left" vertical="center"/>
    </xf>
    <xf numFmtId="0" fontId="8" fillId="3" borderId="15" xfId="1" applyFont="1" applyFill="1" applyBorder="1" applyAlignment="1">
      <alignment horizontal="left" vertical="center"/>
    </xf>
    <xf numFmtId="0" fontId="8" fillId="3" borderId="9" xfId="1" applyFont="1" applyFill="1" applyBorder="1" applyAlignment="1">
      <alignment horizontal="left" vertical="center"/>
    </xf>
    <xf numFmtId="178" fontId="10" fillId="0" borderId="0" xfId="1" applyNumberFormat="1" applyFont="1" applyFill="1" applyBorder="1" applyAlignment="1" applyProtection="1">
      <alignment horizontal="right" vertical="center" shrinkToFit="1"/>
      <protection locked="0"/>
    </xf>
    <xf numFmtId="178" fontId="10" fillId="0" borderId="0" xfId="3" applyNumberFormat="1" applyFont="1" applyFill="1" applyBorder="1" applyAlignment="1" applyProtection="1">
      <alignment horizontal="right" vertical="center" shrinkToFit="1"/>
      <protection locked="0"/>
    </xf>
    <xf numFmtId="177" fontId="10" fillId="0" borderId="0" xfId="1" applyNumberFormat="1" applyFont="1" applyFill="1" applyBorder="1" applyAlignment="1" applyProtection="1">
      <alignment horizontal="right" vertical="center" shrinkToFit="1"/>
      <protection locked="0"/>
    </xf>
    <xf numFmtId="184" fontId="918" fillId="3" borderId="18" xfId="1" applyNumberFormat="1" applyFont="1" applyFill="1" applyBorder="1" applyAlignment="1" applyProtection="1">
      <alignment horizontal="right" vertical="center" shrinkToFit="1"/>
      <protection locked="0"/>
    </xf>
    <xf numFmtId="0" fontId="4" fillId="3" borderId="1" xfId="0" applyFont="1" applyFill="1" applyBorder="1"/>
    <xf numFmtId="183" fontId="921" fillId="3" borderId="77" xfId="0" applyNumberFormat="1" applyFont="1" applyFill="1" applyBorder="1" applyAlignment="1">
      <alignment horizontal="center"/>
    </xf>
    <xf numFmtId="183" fontId="921" fillId="3" borderId="59" xfId="0" applyNumberFormat="1" applyFont="1" applyFill="1" applyBorder="1" applyAlignment="1">
      <alignment horizontal="center"/>
    </xf>
    <xf numFmtId="176" fontId="10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10" fillId="0" borderId="0" xfId="3" applyNumberFormat="1" applyFont="1" applyFill="1" applyBorder="1" applyAlignment="1" applyProtection="1">
      <alignment horizontal="center" vertical="center" shrinkToFit="1"/>
      <protection locked="0"/>
    </xf>
    <xf numFmtId="176" fontId="26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10" fillId="0" borderId="0" xfId="1" applyNumberFormat="1" applyFont="1" applyFill="1" applyBorder="1" applyAlignment="1" applyProtection="1">
      <alignment horizontal="right" vertical="center" shrinkToFit="1"/>
      <protection locked="0"/>
    </xf>
    <xf numFmtId="176" fontId="66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10" fillId="0" borderId="0" xfId="1" applyNumberFormat="1" applyFont="1" applyFill="1" applyBorder="1" applyAlignment="1" applyProtection="1">
      <alignment horizontal="center" vertical="center" shrinkToFit="1"/>
      <protection locked="0"/>
    </xf>
    <xf numFmtId="176" fontId="26" fillId="0" borderId="0" xfId="3" applyNumberFormat="1" applyFont="1" applyFill="1" applyBorder="1" applyAlignment="1" applyProtection="1">
      <alignment horizontal="right" vertical="center" shrinkToFit="1"/>
      <protection locked="0"/>
    </xf>
    <xf numFmtId="176" fontId="66" fillId="0" borderId="0" xfId="1" applyNumberFormat="1" applyFont="1" applyFill="1" applyBorder="1" applyAlignment="1" applyProtection="1">
      <alignment horizontal="right" vertical="center" shrinkToFit="1"/>
      <protection locked="0"/>
    </xf>
    <xf numFmtId="177" fontId="10" fillId="0" borderId="0" xfId="3" applyNumberFormat="1" applyFont="1" applyFill="1" applyBorder="1" applyAlignment="1" applyProtection="1">
      <alignment horizontal="center" vertical="center" shrinkToFit="1"/>
      <protection locked="0"/>
    </xf>
    <xf numFmtId="180" fontId="921" fillId="3" borderId="0" xfId="0" applyNumberFormat="1" applyFont="1" applyFill="1" applyAlignment="1">
      <alignment horizontal="right" vertical="center"/>
    </xf>
    <xf numFmtId="0" fontId="8" fillId="3" borderId="3" xfId="1" applyFont="1" applyFill="1" applyBorder="1" applyAlignment="1">
      <alignment horizontal="left" vertical="center"/>
    </xf>
    <xf numFmtId="0" fontId="8" fillId="2" borderId="27" xfId="1" applyFont="1" applyFill="1" applyBorder="1" applyAlignment="1">
      <alignment horizontal="left" vertical="top"/>
    </xf>
    <xf numFmtId="0" fontId="8" fillId="2" borderId="0" xfId="1" applyFont="1" applyFill="1" applyBorder="1" applyAlignment="1">
      <alignment horizontal="left" vertical="top"/>
    </xf>
    <xf numFmtId="0" fontId="8" fillId="2" borderId="7" xfId="1" applyFont="1" applyFill="1" applyBorder="1" applyAlignment="1">
      <alignment horizontal="left" vertical="top"/>
    </xf>
    <xf numFmtId="0" fontId="9" fillId="0" borderId="0" xfId="0" applyFont="1" applyFill="1" applyBorder="1" applyAlignment="1">
      <alignment horizontal="center" vertical="center"/>
    </xf>
    <xf numFmtId="0" fontId="8" fillId="3" borderId="15" xfId="1" applyFont="1" applyFill="1" applyBorder="1" applyAlignment="1">
      <alignment horizontal="left" vertical="center"/>
    </xf>
    <xf numFmtId="0" fontId="8" fillId="3" borderId="9" xfId="1" applyFont="1" applyFill="1" applyBorder="1" applyAlignment="1">
      <alignment horizontal="left" vertical="center"/>
    </xf>
    <xf numFmtId="0" fontId="9" fillId="7" borderId="12" xfId="0" applyFont="1" applyFill="1" applyBorder="1" applyAlignment="1">
      <alignment horizontal="center" vertical="center"/>
    </xf>
    <xf numFmtId="177" fontId="918" fillId="3" borderId="16" xfId="1" applyNumberFormat="1" applyFont="1" applyFill="1" applyBorder="1" applyAlignment="1" applyProtection="1">
      <alignment horizontal="right" vertical="center" shrinkToFit="1"/>
      <protection locked="0"/>
    </xf>
    <xf numFmtId="177" fontId="918" fillId="4" borderId="58" xfId="1" applyNumberFormat="1" applyFont="1" applyFill="1" applyBorder="1" applyAlignment="1" applyProtection="1">
      <alignment horizontal="right" vertical="center" shrinkToFit="1"/>
      <protection locked="0"/>
    </xf>
    <xf numFmtId="177" fontId="918" fillId="3" borderId="26" xfId="3" applyNumberFormat="1" applyFont="1" applyFill="1" applyBorder="1" applyAlignment="1" applyProtection="1">
      <alignment horizontal="right" vertical="center" shrinkToFit="1"/>
      <protection locked="0"/>
    </xf>
    <xf numFmtId="177" fontId="918" fillId="3" borderId="72" xfId="3" applyNumberFormat="1" applyFont="1" applyFill="1" applyBorder="1" applyAlignment="1" applyProtection="1">
      <alignment horizontal="right" vertical="center" shrinkToFit="1"/>
      <protection locked="0"/>
    </xf>
    <xf numFmtId="177" fontId="918" fillId="3" borderId="72" xfId="1" applyNumberFormat="1" applyFont="1" applyFill="1" applyBorder="1" applyAlignment="1" applyProtection="1">
      <alignment horizontal="right" vertical="center" shrinkToFit="1"/>
      <protection locked="0"/>
    </xf>
    <xf numFmtId="177" fontId="918" fillId="3" borderId="82" xfId="1" applyNumberFormat="1" applyFont="1" applyFill="1" applyBorder="1" applyAlignment="1" applyProtection="1">
      <alignment horizontal="right" vertical="center" shrinkToFit="1"/>
      <protection locked="0"/>
    </xf>
    <xf numFmtId="0" fontId="921" fillId="3" borderId="0" xfId="0" applyFont="1" applyFill="1"/>
    <xf numFmtId="177" fontId="921" fillId="3" borderId="0" xfId="0" applyNumberFormat="1" applyFont="1" applyFill="1"/>
    <xf numFmtId="177" fontId="918" fillId="4" borderId="45" xfId="3" applyNumberFormat="1" applyFont="1" applyFill="1" applyBorder="1" applyAlignment="1" applyProtection="1">
      <alignment horizontal="right" vertical="center" shrinkToFit="1"/>
      <protection locked="0"/>
    </xf>
    <xf numFmtId="177" fontId="918" fillId="4" borderId="71" xfId="3" applyNumberFormat="1" applyFont="1" applyFill="1" applyBorder="1" applyAlignment="1" applyProtection="1">
      <alignment horizontal="right" vertical="center" shrinkToFit="1"/>
      <protection locked="0"/>
    </xf>
    <xf numFmtId="0" fontId="4" fillId="3" borderId="27" xfId="0" applyFont="1" applyFill="1" applyBorder="1"/>
    <xf numFmtId="0" fontId="7" fillId="3" borderId="33" xfId="0" applyFont="1" applyFill="1" applyBorder="1" applyAlignment="1">
      <alignment horizontal="center"/>
    </xf>
    <xf numFmtId="0" fontId="7" fillId="3" borderId="54" xfId="0" applyFont="1" applyFill="1" applyBorder="1" applyAlignment="1">
      <alignment horizontal="center"/>
    </xf>
    <xf numFmtId="176" fontId="918" fillId="3" borderId="44" xfId="3" applyNumberFormat="1" applyFont="1" applyFill="1" applyBorder="1" applyAlignment="1" applyProtection="1">
      <alignment horizontal="center" vertical="center" shrinkToFit="1"/>
      <protection locked="0"/>
    </xf>
    <xf numFmtId="176" fontId="918" fillId="3" borderId="38" xfId="3" applyNumberFormat="1" applyFont="1" applyFill="1" applyBorder="1" applyAlignment="1" applyProtection="1">
      <alignment horizontal="center" vertical="center" shrinkToFit="1"/>
      <protection locked="0"/>
    </xf>
    <xf numFmtId="176" fontId="924" fillId="3" borderId="45" xfId="3" applyNumberFormat="1" applyFont="1" applyFill="1" applyBorder="1" applyAlignment="1" applyProtection="1">
      <alignment horizontal="center" vertical="center" shrinkToFit="1"/>
      <protection locked="0"/>
    </xf>
    <xf numFmtId="176" fontId="924" fillId="3" borderId="17" xfId="3" applyNumberFormat="1" applyFont="1" applyFill="1" applyBorder="1" applyAlignment="1" applyProtection="1">
      <alignment horizontal="center" vertical="center" shrinkToFit="1"/>
      <protection locked="0"/>
    </xf>
    <xf numFmtId="0" fontId="9" fillId="5" borderId="10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7" fillId="3" borderId="44" xfId="1" applyFont="1" applyFill="1" applyBorder="1" applyAlignment="1">
      <alignment horizontal="left" vertical="center"/>
    </xf>
    <xf numFmtId="0" fontId="7" fillId="3" borderId="37" xfId="1" applyFont="1" applyFill="1" applyBorder="1" applyAlignment="1">
      <alignment horizontal="left" vertical="center"/>
    </xf>
    <xf numFmtId="0" fontId="8" fillId="3" borderId="45" xfId="1" applyFont="1" applyFill="1" applyBorder="1" applyAlignment="1">
      <alignment horizontal="left" vertical="center"/>
    </xf>
    <xf numFmtId="0" fontId="8" fillId="3" borderId="3" xfId="1" applyFont="1" applyFill="1" applyBorder="1" applyAlignment="1">
      <alignment horizontal="left" vertical="center"/>
    </xf>
    <xf numFmtId="0" fontId="8" fillId="3" borderId="27" xfId="1" applyFont="1" applyFill="1" applyBorder="1" applyAlignment="1">
      <alignment horizontal="center" vertical="center"/>
    </xf>
    <xf numFmtId="0" fontId="8" fillId="3" borderId="15" xfId="1" applyFont="1" applyFill="1" applyBorder="1" applyAlignment="1">
      <alignment horizontal="center" vertical="center"/>
    </xf>
    <xf numFmtId="0" fontId="9" fillId="6" borderId="10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left" vertical="top" wrapText="1"/>
    </xf>
    <xf numFmtId="176" fontId="918" fillId="3" borderId="45" xfId="3" applyNumberFormat="1" applyFont="1" applyFill="1" applyBorder="1" applyAlignment="1" applyProtection="1">
      <alignment horizontal="center" vertical="center" shrinkToFit="1"/>
      <protection locked="0"/>
    </xf>
    <xf numFmtId="176" fontId="918" fillId="3" borderId="17" xfId="3" applyNumberFormat="1" applyFont="1" applyFill="1" applyBorder="1" applyAlignment="1" applyProtection="1">
      <alignment horizontal="center" vertical="center" shrinkToFit="1"/>
      <protection locked="0"/>
    </xf>
    <xf numFmtId="176" fontId="918" fillId="3" borderId="39" xfId="3" applyNumberFormat="1" applyFont="1" applyFill="1" applyBorder="1" applyAlignment="1" applyProtection="1">
      <alignment horizontal="center" vertical="center" shrinkToFit="1"/>
      <protection locked="0"/>
    </xf>
    <xf numFmtId="176" fontId="918" fillId="3" borderId="76" xfId="3" applyNumberFormat="1" applyFont="1" applyFill="1" applyBorder="1" applyAlignment="1" applyProtection="1">
      <alignment horizontal="center" vertical="center" shrinkToFit="1"/>
      <protection locked="0"/>
    </xf>
    <xf numFmtId="0" fontId="8" fillId="2" borderId="22" xfId="1" applyFont="1" applyFill="1" applyBorder="1" applyAlignment="1">
      <alignment horizontal="left" vertical="top"/>
    </xf>
    <xf numFmtId="0" fontId="8" fillId="2" borderId="23" xfId="1" applyFont="1" applyFill="1" applyBorder="1" applyAlignment="1">
      <alignment horizontal="left" vertical="top"/>
    </xf>
    <xf numFmtId="0" fontId="8" fillId="2" borderId="65" xfId="1" applyFont="1" applyFill="1" applyBorder="1" applyAlignment="1">
      <alignment horizontal="left" vertical="top"/>
    </xf>
    <xf numFmtId="0" fontId="8" fillId="2" borderId="27" xfId="1" applyFont="1" applyFill="1" applyBorder="1" applyAlignment="1">
      <alignment horizontal="left" vertical="top"/>
    </xf>
    <xf numFmtId="0" fontId="8" fillId="2" borderId="0" xfId="1" applyFont="1" applyFill="1" applyBorder="1" applyAlignment="1">
      <alignment horizontal="left" vertical="top"/>
    </xf>
    <xf numFmtId="0" fontId="8" fillId="2" borderId="7" xfId="1" applyFont="1" applyFill="1" applyBorder="1" applyAlignment="1">
      <alignment horizontal="left" vertical="top"/>
    </xf>
    <xf numFmtId="0" fontId="8" fillId="2" borderId="39" xfId="1" applyFont="1" applyFill="1" applyBorder="1" applyAlignment="1">
      <alignment horizontal="left" vertical="top"/>
    </xf>
    <xf numFmtId="0" fontId="8" fillId="2" borderId="40" xfId="1" applyFont="1" applyFill="1" applyBorder="1" applyAlignment="1">
      <alignment horizontal="left" vertical="top"/>
    </xf>
    <xf numFmtId="0" fontId="8" fillId="2" borderId="41" xfId="1" applyFont="1" applyFill="1" applyBorder="1" applyAlignment="1">
      <alignment horizontal="left" vertical="top"/>
    </xf>
    <xf numFmtId="176" fontId="918" fillId="0" borderId="45" xfId="3" applyNumberFormat="1" applyFont="1" applyFill="1" applyBorder="1" applyAlignment="1" applyProtection="1">
      <alignment horizontal="right" vertical="center" shrinkToFit="1"/>
      <protection locked="0"/>
    </xf>
    <xf numFmtId="176" fontId="918" fillId="0" borderId="17" xfId="3" applyNumberFormat="1" applyFont="1" applyFill="1" applyBorder="1" applyAlignment="1" applyProtection="1">
      <alignment horizontal="right" vertical="center" shrinkToFit="1"/>
      <protection locked="0"/>
    </xf>
    <xf numFmtId="176" fontId="921" fillId="0" borderId="45" xfId="3" applyNumberFormat="1" applyFont="1" applyFill="1" applyBorder="1" applyAlignment="1" applyProtection="1">
      <alignment horizontal="right" vertical="center" shrinkToFit="1"/>
      <protection locked="0"/>
    </xf>
    <xf numFmtId="0" fontId="9" fillId="5" borderId="12" xfId="0" applyFont="1" applyFill="1" applyBorder="1" applyAlignment="1">
      <alignment horizontal="center" vertical="center"/>
    </xf>
    <xf numFmtId="176" fontId="918" fillId="4" borderId="15" xfId="3" applyNumberFormat="1" applyFont="1" applyFill="1" applyBorder="1" applyAlignment="1" applyProtection="1">
      <alignment horizontal="right" vertical="center" shrinkToFit="1"/>
      <protection locked="0"/>
    </xf>
    <xf numFmtId="176" fontId="918" fillId="4" borderId="24" xfId="3" applyNumberFormat="1" applyFont="1" applyFill="1" applyBorder="1" applyAlignment="1" applyProtection="1">
      <alignment horizontal="right" vertical="center" shrinkToFit="1"/>
      <protection locked="0"/>
    </xf>
    <xf numFmtId="0" fontId="7" fillId="3" borderId="61" xfId="0" applyFont="1" applyFill="1" applyBorder="1" applyAlignment="1">
      <alignment horizontal="center"/>
    </xf>
    <xf numFmtId="0" fontId="7" fillId="3" borderId="57" xfId="0" applyFont="1" applyFill="1" applyBorder="1" applyAlignment="1">
      <alignment horizontal="center"/>
    </xf>
    <xf numFmtId="176" fontId="918" fillId="4" borderId="45" xfId="3" applyNumberFormat="1" applyFont="1" applyFill="1" applyBorder="1" applyAlignment="1" applyProtection="1">
      <alignment horizontal="right" vertical="center" shrinkToFit="1"/>
      <protection locked="0"/>
    </xf>
    <xf numFmtId="176" fontId="918" fillId="4" borderId="17" xfId="3" applyNumberFormat="1" applyFont="1" applyFill="1" applyBorder="1" applyAlignment="1" applyProtection="1">
      <alignment horizontal="right" vertical="center" shrinkToFit="1"/>
      <protection locked="0"/>
    </xf>
    <xf numFmtId="0" fontId="7" fillId="3" borderId="0" xfId="0" applyFont="1" applyFill="1" applyAlignment="1">
      <alignment horizontal="left" vertical="top"/>
    </xf>
    <xf numFmtId="176" fontId="918" fillId="0" borderId="13" xfId="3" applyNumberFormat="1" applyFont="1" applyFill="1" applyBorder="1" applyAlignment="1" applyProtection="1">
      <alignment horizontal="right" vertical="center" shrinkToFit="1"/>
      <protection locked="0"/>
    </xf>
    <xf numFmtId="176" fontId="918" fillId="0" borderId="14" xfId="3" applyNumberFormat="1" applyFont="1" applyFill="1" applyBorder="1" applyAlignment="1" applyProtection="1">
      <alignment horizontal="right" vertical="center" shrinkToFit="1"/>
      <protection locked="0"/>
    </xf>
    <xf numFmtId="176" fontId="918" fillId="0" borderId="15" xfId="3" applyNumberFormat="1" applyFont="1" applyFill="1" applyBorder="1" applyAlignment="1" applyProtection="1">
      <alignment horizontal="right" vertical="center" shrinkToFit="1"/>
      <protection locked="0"/>
    </xf>
    <xf numFmtId="176" fontId="918" fillId="0" borderId="24" xfId="3" applyNumberFormat="1" applyFont="1" applyFill="1" applyBorder="1" applyAlignment="1" applyProtection="1">
      <alignment horizontal="right" vertical="center" shrinkToFit="1"/>
      <protection locked="0"/>
    </xf>
    <xf numFmtId="176" fontId="918" fillId="0" borderId="28" xfId="3" applyNumberFormat="1" applyFont="1" applyFill="1" applyBorder="1" applyAlignment="1" applyProtection="1">
      <alignment horizontal="right" vertical="center" shrinkToFit="1"/>
      <protection locked="0"/>
    </xf>
    <xf numFmtId="176" fontId="918" fillId="0" borderId="30" xfId="3" applyNumberFormat="1" applyFont="1" applyFill="1" applyBorder="1" applyAlignment="1" applyProtection="1">
      <alignment horizontal="right" vertical="center" shrinkToFit="1"/>
      <protection locked="0"/>
    </xf>
    <xf numFmtId="176" fontId="921" fillId="4" borderId="45" xfId="0" applyNumberFormat="1" applyFont="1" applyFill="1" applyBorder="1" applyAlignment="1">
      <alignment horizontal="right"/>
    </xf>
    <xf numFmtId="176" fontId="921" fillId="4" borderId="17" xfId="0" applyNumberFormat="1" applyFont="1" applyFill="1" applyBorder="1" applyAlignment="1">
      <alignment horizontal="right"/>
    </xf>
    <xf numFmtId="176" fontId="0" fillId="0" borderId="45" xfId="3" applyNumberFormat="1" applyFont="1" applyFill="1" applyBorder="1" applyAlignment="1" applyProtection="1">
      <alignment horizontal="right" vertical="center" shrinkToFit="1"/>
      <protection locked="0"/>
    </xf>
    <xf numFmtId="176" fontId="918" fillId="4" borderId="44" xfId="3" applyNumberFormat="1" applyFont="1" applyFill="1" applyBorder="1" applyAlignment="1" applyProtection="1">
      <alignment horizontal="right" vertical="center" shrinkToFit="1"/>
      <protection locked="0"/>
    </xf>
    <xf numFmtId="176" fontId="918" fillId="4" borderId="38" xfId="3" applyNumberFormat="1" applyFont="1" applyFill="1" applyBorder="1" applyAlignment="1" applyProtection="1">
      <alignment horizontal="right" vertical="center" shrinkToFit="1"/>
      <protection locked="0"/>
    </xf>
    <xf numFmtId="0" fontId="9" fillId="0" borderId="0" xfId="0" applyFont="1" applyFill="1" applyBorder="1" applyAlignment="1">
      <alignment horizontal="center" vertical="center"/>
    </xf>
    <xf numFmtId="176" fontId="919" fillId="3" borderId="45" xfId="3" applyNumberFormat="1" applyFont="1" applyFill="1" applyBorder="1" applyAlignment="1" applyProtection="1">
      <alignment horizontal="center" vertical="center" shrinkToFit="1"/>
      <protection locked="0"/>
    </xf>
    <xf numFmtId="176" fontId="919" fillId="3" borderId="17" xfId="3" applyNumberFormat="1" applyFont="1" applyFill="1" applyBorder="1" applyAlignment="1" applyProtection="1">
      <alignment horizontal="center" vertical="center" shrinkToFit="1"/>
      <protection locked="0"/>
    </xf>
    <xf numFmtId="0" fontId="8" fillId="3" borderId="26" xfId="1" applyFont="1" applyFill="1" applyBorder="1" applyAlignment="1">
      <alignment horizontal="center" vertical="center"/>
    </xf>
    <xf numFmtId="0" fontId="8" fillId="3" borderId="31" xfId="1" applyFont="1" applyFill="1" applyBorder="1" applyAlignment="1">
      <alignment horizontal="center" vertical="center"/>
    </xf>
    <xf numFmtId="0" fontId="8" fillId="3" borderId="72" xfId="1" applyFont="1" applyFill="1" applyBorder="1" applyAlignment="1">
      <alignment horizontal="center" vertical="center"/>
    </xf>
    <xf numFmtId="0" fontId="8" fillId="3" borderId="32" xfId="1" applyFont="1" applyFill="1" applyBorder="1" applyAlignment="1">
      <alignment horizontal="center" vertical="center"/>
    </xf>
    <xf numFmtId="0" fontId="8" fillId="3" borderId="15" xfId="1" applyFont="1" applyFill="1" applyBorder="1" applyAlignment="1">
      <alignment horizontal="left" vertical="center"/>
    </xf>
    <xf numFmtId="0" fontId="8" fillId="3" borderId="9" xfId="1" applyFont="1" applyFill="1" applyBorder="1" applyAlignment="1">
      <alignment horizontal="left" vertical="center"/>
    </xf>
    <xf numFmtId="0" fontId="9" fillId="0" borderId="27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horizontal="center" vertical="center"/>
    </xf>
    <xf numFmtId="0" fontId="9" fillId="7" borderId="11" xfId="0" applyFont="1" applyFill="1" applyBorder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0" fontId="9" fillId="6" borderId="11" xfId="0" applyFont="1" applyFill="1" applyBorder="1" applyAlignment="1">
      <alignment horizontal="center" vertical="center"/>
    </xf>
  </cellXfs>
  <cellStyles count="4">
    <cellStyle name="桁区切り" xfId="3" builtinId="6"/>
    <cellStyle name="標準" xfId="0" builtinId="0"/>
    <cellStyle name="標準 16" xfId="2" xr:uid="{00000000-0005-0000-0000-000002000000}"/>
    <cellStyle name="標準 2 2" xfId="1" xr:uid="{00000000-0005-0000-0000-000003000000}"/>
  </cellStyles>
  <dxfs count="0"/>
  <tableStyles count="0" defaultTableStyle="TableStyleMedium2" defaultPivotStyle="PivotStyleMedium9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8FF64-987F-4D85-A316-AD35204CD6D4}">
  <dimension ref="A1:U64"/>
  <sheetViews>
    <sheetView showGridLines="0" tabSelected="1" view="pageBreakPreview" zoomScaleNormal="100" zoomScaleSheetLayoutView="100" workbookViewId="0">
      <selection activeCell="Q33" sqref="Q33"/>
    </sheetView>
  </sheetViews>
  <sheetFormatPr defaultRowHeight="11.25"/>
  <cols>
    <col min="1" max="2" width="2.75" style="1" customWidth="1"/>
    <col min="3" max="3" width="10.5" style="1" customWidth="1"/>
    <col min="4" max="4" width="10.125" style="1" customWidth="1"/>
    <col min="5" max="5" width="6.125" style="1" customWidth="1"/>
    <col min="6" max="19" width="12.125" style="1" customWidth="1"/>
    <col min="20" max="20" width="1.25" style="1" customWidth="1"/>
    <col min="21" max="16384" width="9" style="1"/>
  </cols>
  <sheetData>
    <row r="1" spans="1:21" ht="29.25" customHeight="1" thickBot="1">
      <c r="A1" s="2" t="s">
        <v>183</v>
      </c>
      <c r="B1" s="1140"/>
      <c r="C1" s="1140"/>
      <c r="D1" s="1140"/>
      <c r="E1" s="1140"/>
      <c r="F1" s="1140"/>
      <c r="G1" s="1140"/>
      <c r="H1" s="1140"/>
      <c r="I1" s="1140"/>
      <c r="J1" s="1140"/>
      <c r="K1" s="1140"/>
      <c r="L1" s="1140"/>
      <c r="M1" s="1140"/>
      <c r="N1" s="1140"/>
      <c r="O1" s="1140"/>
      <c r="P1" s="1140"/>
      <c r="Q1" s="1140"/>
      <c r="R1" s="1140"/>
      <c r="S1" s="1140"/>
      <c r="T1" s="1140"/>
      <c r="U1" s="1140"/>
    </row>
    <row r="2" spans="1:21" ht="16.5" customHeight="1">
      <c r="A2" s="10"/>
      <c r="B2" s="11"/>
      <c r="C2" s="11"/>
      <c r="D2" s="11"/>
      <c r="E2" s="11"/>
      <c r="F2" s="1284" t="s">
        <v>53</v>
      </c>
      <c r="G2" s="1285"/>
      <c r="H2" s="1285"/>
      <c r="I2" s="1285"/>
      <c r="J2" s="1285"/>
      <c r="K2" s="1285"/>
      <c r="L2" s="1285"/>
      <c r="M2" s="1285"/>
      <c r="N2" s="1285"/>
      <c r="O2" s="1285"/>
      <c r="P2" s="1285"/>
      <c r="Q2" s="1285"/>
      <c r="R2" s="1285"/>
      <c r="S2" s="1130" t="s">
        <v>54</v>
      </c>
      <c r="T2" s="1140"/>
      <c r="U2" s="1140"/>
    </row>
    <row r="3" spans="1:21" ht="15.75" thickBot="1">
      <c r="A3" s="19"/>
      <c r="B3" s="20"/>
      <c r="C3" s="20"/>
      <c r="D3" s="20"/>
      <c r="E3" s="20"/>
      <c r="F3" s="1006" t="s">
        <v>182</v>
      </c>
      <c r="G3" s="25" t="s">
        <v>181</v>
      </c>
      <c r="H3" s="25" t="s">
        <v>180</v>
      </c>
      <c r="I3" s="25" t="s">
        <v>179</v>
      </c>
      <c r="J3" s="25" t="s">
        <v>178</v>
      </c>
      <c r="K3" s="25" t="s">
        <v>177</v>
      </c>
      <c r="L3" s="25" t="s">
        <v>176</v>
      </c>
      <c r="M3" s="25" t="s">
        <v>175</v>
      </c>
      <c r="N3" s="25" t="s">
        <v>174</v>
      </c>
      <c r="O3" s="25" t="s">
        <v>173</v>
      </c>
      <c r="P3" s="25" t="s">
        <v>172</v>
      </c>
      <c r="Q3" s="27" t="s">
        <v>171</v>
      </c>
      <c r="R3" s="57" t="s">
        <v>170</v>
      </c>
      <c r="S3" s="1176" t="s">
        <v>170</v>
      </c>
      <c r="T3" s="1140"/>
      <c r="U3" s="1140"/>
    </row>
    <row r="4" spans="1:21" ht="15.75" thickTop="1">
      <c r="A4" s="1286" t="s">
        <v>164</v>
      </c>
      <c r="B4" s="1287"/>
      <c r="C4" s="1287"/>
      <c r="D4" s="1287"/>
      <c r="E4" s="1188" t="s">
        <v>163</v>
      </c>
      <c r="F4" s="1189">
        <v>16855</v>
      </c>
      <c r="G4" s="1190">
        <v>16833</v>
      </c>
      <c r="H4" s="1190">
        <v>16822</v>
      </c>
      <c r="I4" s="1190">
        <v>16812</v>
      </c>
      <c r="J4" s="1190">
        <v>16786</v>
      </c>
      <c r="K4" s="1190">
        <v>16761</v>
      </c>
      <c r="L4" s="1190">
        <v>16728</v>
      </c>
      <c r="M4" s="1190">
        <v>16714</v>
      </c>
      <c r="N4" s="1190">
        <v>16679</v>
      </c>
      <c r="O4" s="1217">
        <v>16655</v>
      </c>
      <c r="P4" s="1248">
        <v>16636</v>
      </c>
      <c r="Q4" s="1247">
        <v>16571</v>
      </c>
      <c r="R4" s="1191"/>
      <c r="S4" s="1191"/>
      <c r="T4" s="1140"/>
      <c r="U4" s="1140"/>
    </row>
    <row r="5" spans="1:21" ht="15">
      <c r="A5" s="1240" t="s">
        <v>80</v>
      </c>
      <c r="B5" s="1241"/>
      <c r="C5" s="1241"/>
      <c r="D5" s="1241"/>
      <c r="E5" s="1241" t="s">
        <v>37</v>
      </c>
      <c r="F5" s="1009">
        <v>6634</v>
      </c>
      <c r="G5" s="1010">
        <v>6638</v>
      </c>
      <c r="H5" s="1010">
        <v>6655</v>
      </c>
      <c r="I5" s="1011">
        <v>6660</v>
      </c>
      <c r="J5" s="1011">
        <v>6665</v>
      </c>
      <c r="K5" s="1127">
        <v>6667</v>
      </c>
      <c r="L5" s="1010">
        <v>6665</v>
      </c>
      <c r="M5" s="1015">
        <v>6678</v>
      </c>
      <c r="N5" s="1015">
        <v>6678</v>
      </c>
      <c r="O5" s="1016">
        <v>6679</v>
      </c>
      <c r="P5" s="1016">
        <v>6692</v>
      </c>
      <c r="Q5" s="1012">
        <v>6701</v>
      </c>
      <c r="R5" s="1135">
        <f>K5</f>
        <v>6667</v>
      </c>
      <c r="S5" s="1135">
        <v>6635</v>
      </c>
      <c r="T5" s="1140"/>
      <c r="U5" s="1140"/>
    </row>
    <row r="6" spans="1:21" ht="15">
      <c r="A6" s="1238" t="s">
        <v>165</v>
      </c>
      <c r="B6" s="1241"/>
      <c r="C6" s="1241"/>
      <c r="D6" s="1241"/>
      <c r="E6" s="1241" t="s">
        <v>166</v>
      </c>
      <c r="F6" s="1208">
        <f t="shared" ref="F6:Q6" si="0">F5/F4*100</f>
        <v>39.359240581429844</v>
      </c>
      <c r="G6" s="1019">
        <f t="shared" si="0"/>
        <v>39.434444246420718</v>
      </c>
      <c r="H6" s="1019">
        <f t="shared" si="0"/>
        <v>39.561288788491261</v>
      </c>
      <c r="I6" s="1019">
        <f t="shared" si="0"/>
        <v>39.614561027837262</v>
      </c>
      <c r="J6" s="1019">
        <f t="shared" si="0"/>
        <v>39.705707136899797</v>
      </c>
      <c r="K6" s="1019">
        <f t="shared" si="0"/>
        <v>39.776862955670907</v>
      </c>
      <c r="L6" s="1019">
        <f t="shared" si="0"/>
        <v>39.84337637494022</v>
      </c>
      <c r="M6" s="1019">
        <f t="shared" si="0"/>
        <v>39.954529137250212</v>
      </c>
      <c r="N6" s="1019">
        <f t="shared" si="0"/>
        <v>40.038371605012287</v>
      </c>
      <c r="O6" s="1019">
        <f t="shared" si="0"/>
        <v>40.102071450015011</v>
      </c>
      <c r="P6" s="1019">
        <f t="shared" si="0"/>
        <v>40.22601586919933</v>
      </c>
      <c r="Q6" s="1019">
        <f t="shared" si="0"/>
        <v>40.438114778830489</v>
      </c>
      <c r="R6" s="1192"/>
      <c r="S6" s="1192"/>
      <c r="T6" s="1140"/>
      <c r="U6" s="1140"/>
    </row>
    <row r="7" spans="1:21" ht="15">
      <c r="A7" s="1288" t="s">
        <v>167</v>
      </c>
      <c r="B7" s="1289"/>
      <c r="C7" s="1289"/>
      <c r="D7" s="1289"/>
      <c r="E7" s="1239" t="s">
        <v>37</v>
      </c>
      <c r="F7" s="1204">
        <v>101</v>
      </c>
      <c r="G7" s="1205">
        <v>102</v>
      </c>
      <c r="H7" s="1206">
        <v>100</v>
      </c>
      <c r="I7" s="1206">
        <v>102</v>
      </c>
      <c r="J7" s="1206">
        <v>102</v>
      </c>
      <c r="K7" s="1206">
        <v>100</v>
      </c>
      <c r="L7" s="1206">
        <v>101</v>
      </c>
      <c r="M7" s="1206">
        <v>99</v>
      </c>
      <c r="N7" s="1206">
        <v>97</v>
      </c>
      <c r="O7" s="1206">
        <v>102</v>
      </c>
      <c r="P7" s="1246">
        <v>109</v>
      </c>
      <c r="Q7" s="1245">
        <v>114</v>
      </c>
      <c r="R7" s="1192"/>
      <c r="S7" s="1192"/>
      <c r="T7" s="1140"/>
      <c r="U7" s="1140"/>
    </row>
    <row r="8" spans="1:21" ht="15">
      <c r="A8" s="39" t="s">
        <v>78</v>
      </c>
      <c r="B8" s="1239"/>
      <c r="C8" s="1239"/>
      <c r="D8" s="1239"/>
      <c r="E8" s="1239" t="s">
        <v>37</v>
      </c>
      <c r="F8" s="1014">
        <f t="shared" ref="F8:Q8" si="1">F9+F14</f>
        <v>1001</v>
      </c>
      <c r="G8" s="1015">
        <f t="shared" si="1"/>
        <v>1004</v>
      </c>
      <c r="H8" s="1015">
        <f t="shared" si="1"/>
        <v>1008</v>
      </c>
      <c r="I8" s="1015">
        <f t="shared" si="1"/>
        <v>1013</v>
      </c>
      <c r="J8" s="1015">
        <f t="shared" si="1"/>
        <v>1007</v>
      </c>
      <c r="K8" s="1015">
        <f t="shared" si="1"/>
        <v>1002</v>
      </c>
      <c r="L8" s="1015">
        <f t="shared" si="1"/>
        <v>1005</v>
      </c>
      <c r="M8" s="1015">
        <f t="shared" si="1"/>
        <v>1001</v>
      </c>
      <c r="N8" s="1015">
        <f t="shared" si="1"/>
        <v>1008</v>
      </c>
      <c r="O8" s="1015">
        <f t="shared" si="1"/>
        <v>1011</v>
      </c>
      <c r="P8" s="1015">
        <f t="shared" si="1"/>
        <v>1008</v>
      </c>
      <c r="Q8" s="1015">
        <f t="shared" si="1"/>
        <v>1028</v>
      </c>
      <c r="R8" s="1133">
        <f>K8</f>
        <v>1002</v>
      </c>
      <c r="S8" s="1015">
        <f>S9+S14</f>
        <v>1365</v>
      </c>
      <c r="T8" s="1140"/>
      <c r="U8" s="1140"/>
    </row>
    <row r="9" spans="1:21" ht="15">
      <c r="A9" s="14"/>
      <c r="B9" s="1158" t="s">
        <v>142</v>
      </c>
      <c r="C9" s="1159"/>
      <c r="D9" s="1159"/>
      <c r="E9" s="1159" t="s">
        <v>37</v>
      </c>
      <c r="F9" s="1160">
        <f t="shared" ref="F9:S9" si="2">SUM(F10:F13)</f>
        <v>521</v>
      </c>
      <c r="G9" s="1161">
        <f t="shared" si="2"/>
        <v>515</v>
      </c>
      <c r="H9" s="1161">
        <f t="shared" si="2"/>
        <v>514</v>
      </c>
      <c r="I9" s="1162">
        <f t="shared" si="2"/>
        <v>513</v>
      </c>
      <c r="J9" s="1162">
        <f t="shared" si="2"/>
        <v>515</v>
      </c>
      <c r="K9" s="1162">
        <f t="shared" si="2"/>
        <v>513</v>
      </c>
      <c r="L9" s="1161">
        <f t="shared" si="2"/>
        <v>515</v>
      </c>
      <c r="M9" s="1161">
        <f t="shared" si="2"/>
        <v>517</v>
      </c>
      <c r="N9" s="1161">
        <f t="shared" si="2"/>
        <v>525</v>
      </c>
      <c r="O9" s="1162">
        <f t="shared" si="2"/>
        <v>526</v>
      </c>
      <c r="P9" s="1162">
        <f t="shared" si="2"/>
        <v>529</v>
      </c>
      <c r="Q9" s="1162">
        <f t="shared" si="2"/>
        <v>541</v>
      </c>
      <c r="R9" s="1177">
        <f t="shared" si="2"/>
        <v>513</v>
      </c>
      <c r="S9" s="1177">
        <f t="shared" si="2"/>
        <v>719</v>
      </c>
      <c r="T9" s="1140"/>
      <c r="U9" s="1140"/>
    </row>
    <row r="10" spans="1:21" ht="15">
      <c r="A10" s="1290"/>
      <c r="B10" s="1156"/>
      <c r="C10" s="1239" t="s">
        <v>134</v>
      </c>
      <c r="D10" s="1239"/>
      <c r="E10" s="1239" t="s">
        <v>37</v>
      </c>
      <c r="F10" s="1014">
        <v>49</v>
      </c>
      <c r="G10" s="1015">
        <v>51</v>
      </c>
      <c r="H10" s="1015">
        <v>53</v>
      </c>
      <c r="I10" s="1016">
        <v>47</v>
      </c>
      <c r="J10" s="1016">
        <v>47</v>
      </c>
      <c r="K10" s="1126">
        <v>50</v>
      </c>
      <c r="L10" s="1015">
        <v>53</v>
      </c>
      <c r="M10" s="1015">
        <v>51</v>
      </c>
      <c r="N10" s="1015">
        <v>52</v>
      </c>
      <c r="O10" s="1016">
        <v>58</v>
      </c>
      <c r="P10" s="1016">
        <v>57</v>
      </c>
      <c r="Q10" s="1145">
        <v>60</v>
      </c>
      <c r="R10" s="1207">
        <f>K10</f>
        <v>50</v>
      </c>
      <c r="S10" s="1133">
        <v>88</v>
      </c>
      <c r="T10" s="1140"/>
      <c r="U10" s="1140"/>
    </row>
    <row r="11" spans="1:21" ht="15">
      <c r="A11" s="1290"/>
      <c r="B11" s="1156"/>
      <c r="C11" s="1239" t="s">
        <v>139</v>
      </c>
      <c r="D11" s="1239"/>
      <c r="E11" s="1239" t="s">
        <v>37</v>
      </c>
      <c r="F11" s="1014">
        <v>89</v>
      </c>
      <c r="G11" s="1015">
        <v>84</v>
      </c>
      <c r="H11" s="1015">
        <v>82</v>
      </c>
      <c r="I11" s="1016">
        <v>84</v>
      </c>
      <c r="J11" s="1016">
        <v>87</v>
      </c>
      <c r="K11" s="1126">
        <v>86</v>
      </c>
      <c r="L11" s="1015">
        <v>88</v>
      </c>
      <c r="M11" s="1015">
        <v>90</v>
      </c>
      <c r="N11" s="1015">
        <v>91</v>
      </c>
      <c r="O11" s="1016">
        <v>94</v>
      </c>
      <c r="P11" s="1016">
        <v>95</v>
      </c>
      <c r="Q11" s="1017">
        <v>97</v>
      </c>
      <c r="R11" s="1207">
        <f>K11</f>
        <v>86</v>
      </c>
      <c r="S11" s="1133">
        <v>104</v>
      </c>
      <c r="T11" s="1140"/>
      <c r="U11" s="1140"/>
    </row>
    <row r="12" spans="1:21" ht="15">
      <c r="A12" s="1290"/>
      <c r="B12" s="1156"/>
      <c r="C12" s="1239" t="s">
        <v>140</v>
      </c>
      <c r="D12" s="1239"/>
      <c r="E12" s="1239" t="s">
        <v>37</v>
      </c>
      <c r="F12" s="1014">
        <v>191</v>
      </c>
      <c r="G12" s="1015">
        <v>185</v>
      </c>
      <c r="H12" s="1015">
        <v>184</v>
      </c>
      <c r="I12" s="1016">
        <v>186</v>
      </c>
      <c r="J12" s="1016">
        <v>184</v>
      </c>
      <c r="K12" s="1126">
        <v>188</v>
      </c>
      <c r="L12" s="1015">
        <v>186</v>
      </c>
      <c r="M12" s="1015">
        <v>187</v>
      </c>
      <c r="N12" s="1015">
        <v>190</v>
      </c>
      <c r="O12" s="1016">
        <v>192</v>
      </c>
      <c r="P12" s="1016">
        <v>196</v>
      </c>
      <c r="Q12" s="1017">
        <v>201</v>
      </c>
      <c r="R12" s="1207">
        <f>K12</f>
        <v>188</v>
      </c>
      <c r="S12" s="1133">
        <v>283</v>
      </c>
      <c r="T12" s="1140"/>
      <c r="U12" s="1140"/>
    </row>
    <row r="13" spans="1:21" ht="15">
      <c r="A13" s="1290"/>
      <c r="B13" s="1157"/>
      <c r="C13" s="1239" t="s">
        <v>141</v>
      </c>
      <c r="D13" s="1239"/>
      <c r="E13" s="1239" t="s">
        <v>37</v>
      </c>
      <c r="F13" s="1014">
        <v>192</v>
      </c>
      <c r="G13" s="1015">
        <v>195</v>
      </c>
      <c r="H13" s="1015">
        <v>195</v>
      </c>
      <c r="I13" s="1016">
        <v>196</v>
      </c>
      <c r="J13" s="1016">
        <v>197</v>
      </c>
      <c r="K13" s="1126">
        <v>189</v>
      </c>
      <c r="L13" s="1015">
        <v>188</v>
      </c>
      <c r="M13" s="1015">
        <v>189</v>
      </c>
      <c r="N13" s="1015">
        <v>192</v>
      </c>
      <c r="O13" s="1016">
        <v>182</v>
      </c>
      <c r="P13" s="1016">
        <v>181</v>
      </c>
      <c r="Q13" s="1017">
        <v>183</v>
      </c>
      <c r="R13" s="1207">
        <f>K13</f>
        <v>189</v>
      </c>
      <c r="S13" s="1133">
        <v>244</v>
      </c>
      <c r="T13" s="1140"/>
      <c r="U13" s="1140"/>
    </row>
    <row r="14" spans="1:21" ht="15">
      <c r="A14" s="1290"/>
      <c r="B14" s="1158" t="s">
        <v>136</v>
      </c>
      <c r="C14" s="1159"/>
      <c r="D14" s="1159"/>
      <c r="E14" s="1159" t="s">
        <v>37</v>
      </c>
      <c r="F14" s="1160">
        <f t="shared" ref="F14:S14" si="3">SUM(F15:F17)</f>
        <v>480</v>
      </c>
      <c r="G14" s="1161">
        <f t="shared" si="3"/>
        <v>489</v>
      </c>
      <c r="H14" s="1161">
        <f t="shared" si="3"/>
        <v>494</v>
      </c>
      <c r="I14" s="1162">
        <f t="shared" si="3"/>
        <v>500</v>
      </c>
      <c r="J14" s="1162">
        <f t="shared" si="3"/>
        <v>492</v>
      </c>
      <c r="K14" s="1162">
        <f t="shared" si="3"/>
        <v>489</v>
      </c>
      <c r="L14" s="1161">
        <f t="shared" si="3"/>
        <v>490</v>
      </c>
      <c r="M14" s="1161">
        <f t="shared" si="3"/>
        <v>484</v>
      </c>
      <c r="N14" s="1161">
        <f t="shared" si="3"/>
        <v>483</v>
      </c>
      <c r="O14" s="1162">
        <f t="shared" si="3"/>
        <v>485</v>
      </c>
      <c r="P14" s="1162">
        <f t="shared" si="3"/>
        <v>479</v>
      </c>
      <c r="Q14" s="1162">
        <f t="shared" si="3"/>
        <v>487</v>
      </c>
      <c r="R14" s="1172">
        <f t="shared" si="3"/>
        <v>489</v>
      </c>
      <c r="S14" s="1177">
        <f t="shared" si="3"/>
        <v>646</v>
      </c>
      <c r="T14" s="1140"/>
      <c r="U14" s="1140"/>
    </row>
    <row r="15" spans="1:21" ht="15">
      <c r="A15" s="1290"/>
      <c r="B15" s="1156"/>
      <c r="C15" s="1239" t="s">
        <v>135</v>
      </c>
      <c r="D15" s="1239"/>
      <c r="E15" s="1239" t="s">
        <v>37</v>
      </c>
      <c r="F15" s="1014">
        <v>148</v>
      </c>
      <c r="G15" s="1015">
        <v>149</v>
      </c>
      <c r="H15" s="1015">
        <v>149</v>
      </c>
      <c r="I15" s="1016">
        <v>153</v>
      </c>
      <c r="J15" s="1016">
        <v>152</v>
      </c>
      <c r="K15" s="1126">
        <v>153</v>
      </c>
      <c r="L15" s="1015">
        <v>158</v>
      </c>
      <c r="M15" s="1015">
        <v>155</v>
      </c>
      <c r="N15" s="1015">
        <v>149</v>
      </c>
      <c r="O15" s="1016">
        <v>152</v>
      </c>
      <c r="P15" s="1016">
        <v>148</v>
      </c>
      <c r="Q15" s="1017">
        <v>152</v>
      </c>
      <c r="R15" s="1153">
        <f t="shared" ref="R15:R23" si="4">K15</f>
        <v>153</v>
      </c>
      <c r="S15" s="1133">
        <v>199</v>
      </c>
      <c r="T15" s="1140"/>
      <c r="U15" s="1140"/>
    </row>
    <row r="16" spans="1:21" ht="15">
      <c r="A16" s="1290"/>
      <c r="B16" s="1156"/>
      <c r="C16" s="1239" t="s">
        <v>137</v>
      </c>
      <c r="D16" s="1239"/>
      <c r="E16" s="1239" t="s">
        <v>37</v>
      </c>
      <c r="F16" s="1014">
        <v>187</v>
      </c>
      <c r="G16" s="1015">
        <v>191</v>
      </c>
      <c r="H16" s="1015">
        <v>195</v>
      </c>
      <c r="I16" s="1016">
        <v>200</v>
      </c>
      <c r="J16" s="1016">
        <v>191</v>
      </c>
      <c r="K16" s="1126">
        <v>189</v>
      </c>
      <c r="L16" s="1015">
        <v>187</v>
      </c>
      <c r="M16" s="1015">
        <v>187</v>
      </c>
      <c r="N16" s="1015">
        <v>188</v>
      </c>
      <c r="O16" s="1016">
        <v>187</v>
      </c>
      <c r="P16" s="1016">
        <v>190</v>
      </c>
      <c r="Q16" s="1017">
        <v>193</v>
      </c>
      <c r="R16" s="1153">
        <f t="shared" si="4"/>
        <v>189</v>
      </c>
      <c r="S16" s="1133">
        <v>233</v>
      </c>
      <c r="T16" s="1140"/>
      <c r="U16" s="1140"/>
    </row>
    <row r="17" spans="1:21" ht="15">
      <c r="A17" s="1291"/>
      <c r="B17" s="1157"/>
      <c r="C17" s="1239" t="s">
        <v>138</v>
      </c>
      <c r="D17" s="1239"/>
      <c r="E17" s="1239" t="s">
        <v>37</v>
      </c>
      <c r="F17" s="1014">
        <v>145</v>
      </c>
      <c r="G17" s="1015">
        <v>149</v>
      </c>
      <c r="H17" s="1015">
        <v>150</v>
      </c>
      <c r="I17" s="1016">
        <v>147</v>
      </c>
      <c r="J17" s="1016">
        <v>149</v>
      </c>
      <c r="K17" s="1126">
        <v>147</v>
      </c>
      <c r="L17" s="1015">
        <v>145</v>
      </c>
      <c r="M17" s="1015">
        <v>142</v>
      </c>
      <c r="N17" s="1015">
        <v>146</v>
      </c>
      <c r="O17" s="1016">
        <v>146</v>
      </c>
      <c r="P17" s="1016">
        <v>141</v>
      </c>
      <c r="Q17" s="1017">
        <v>142</v>
      </c>
      <c r="R17" s="1153">
        <f t="shared" si="4"/>
        <v>147</v>
      </c>
      <c r="S17" s="1133">
        <v>214</v>
      </c>
      <c r="T17" s="1140"/>
      <c r="U17" s="1140"/>
    </row>
    <row r="18" spans="1:21" ht="15">
      <c r="A18" s="1238" t="s">
        <v>81</v>
      </c>
      <c r="B18" s="1239"/>
      <c r="C18" s="1239"/>
      <c r="D18" s="1239"/>
      <c r="E18" s="1239" t="s">
        <v>37</v>
      </c>
      <c r="F18" s="1014">
        <v>31</v>
      </c>
      <c r="G18" s="1015">
        <v>33</v>
      </c>
      <c r="H18" s="1015">
        <v>33</v>
      </c>
      <c r="I18" s="1016">
        <v>34</v>
      </c>
      <c r="J18" s="1016">
        <v>33</v>
      </c>
      <c r="K18" s="1126">
        <v>34</v>
      </c>
      <c r="L18" s="1015">
        <v>30</v>
      </c>
      <c r="M18" s="1015">
        <v>30</v>
      </c>
      <c r="N18" s="1015">
        <v>30</v>
      </c>
      <c r="O18" s="1016">
        <v>29</v>
      </c>
      <c r="P18" s="1016">
        <v>27</v>
      </c>
      <c r="Q18" s="1017">
        <v>26</v>
      </c>
      <c r="R18" s="1153">
        <f t="shared" si="4"/>
        <v>34</v>
      </c>
      <c r="S18" s="1178">
        <v>39</v>
      </c>
      <c r="T18" s="1140"/>
      <c r="U18" s="1140"/>
    </row>
    <row r="19" spans="1:21" ht="15">
      <c r="A19" s="1164" t="s">
        <v>79</v>
      </c>
      <c r="B19" s="1159"/>
      <c r="C19" s="1159"/>
      <c r="D19" s="1159"/>
      <c r="E19" s="1159" t="s">
        <v>43</v>
      </c>
      <c r="F19" s="1165">
        <f t="shared" ref="F19:Q19" si="5">F8/F5*100</f>
        <v>15.088935785348207</v>
      </c>
      <c r="G19" s="1166">
        <f t="shared" si="5"/>
        <v>15.125037661946369</v>
      </c>
      <c r="H19" s="1166">
        <f t="shared" si="5"/>
        <v>15.146506386175806</v>
      </c>
      <c r="I19" s="1167">
        <f t="shared" si="5"/>
        <v>15.21021021021021</v>
      </c>
      <c r="J19" s="1167">
        <f t="shared" si="5"/>
        <v>15.108777194298575</v>
      </c>
      <c r="K19" s="1167">
        <f t="shared" si="5"/>
        <v>15.029248537573119</v>
      </c>
      <c r="L19" s="1168">
        <f t="shared" si="5"/>
        <v>15.078769692423105</v>
      </c>
      <c r="M19" s="1167">
        <f t="shared" si="5"/>
        <v>14.989517819706499</v>
      </c>
      <c r="N19" s="1167">
        <f t="shared" si="5"/>
        <v>15.09433962264151</v>
      </c>
      <c r="O19" s="1167">
        <f t="shared" si="5"/>
        <v>15.136996556370713</v>
      </c>
      <c r="P19" s="1167">
        <f t="shared" si="5"/>
        <v>15.062761506276152</v>
      </c>
      <c r="Q19" s="1167">
        <f t="shared" si="5"/>
        <v>15.340993881510222</v>
      </c>
      <c r="R19" s="1174">
        <f t="shared" si="4"/>
        <v>15.029248537573119</v>
      </c>
      <c r="S19" s="1179">
        <f>S8/S5*100</f>
        <v>20.572720422004519</v>
      </c>
      <c r="T19" s="1140"/>
      <c r="U19" s="1140"/>
    </row>
    <row r="20" spans="1:21" ht="15">
      <c r="A20" s="39" t="s">
        <v>89</v>
      </c>
      <c r="B20" s="1239"/>
      <c r="C20" s="1239"/>
      <c r="D20" s="1239"/>
      <c r="E20" s="1239" t="s">
        <v>37</v>
      </c>
      <c r="F20" s="1014">
        <f t="shared" ref="F20:Q20" si="6">SUM(F21:F23)</f>
        <v>898</v>
      </c>
      <c r="G20" s="1015">
        <f t="shared" si="6"/>
        <v>900</v>
      </c>
      <c r="H20" s="1149">
        <f t="shared" si="6"/>
        <v>905</v>
      </c>
      <c r="I20" s="1149">
        <f t="shared" si="6"/>
        <v>905</v>
      </c>
      <c r="J20" s="1015">
        <f t="shared" si="6"/>
        <v>916</v>
      </c>
      <c r="K20" s="1015">
        <f t="shared" si="6"/>
        <v>893</v>
      </c>
      <c r="L20" s="1015">
        <f t="shared" si="6"/>
        <v>900</v>
      </c>
      <c r="M20" s="1015">
        <f t="shared" si="6"/>
        <v>897</v>
      </c>
      <c r="N20" s="1015">
        <f t="shared" si="6"/>
        <v>911</v>
      </c>
      <c r="O20" s="1015">
        <f t="shared" si="6"/>
        <v>892</v>
      </c>
      <c r="P20" s="1015">
        <f t="shared" si="6"/>
        <v>889</v>
      </c>
      <c r="Q20" s="1015">
        <f t="shared" si="6"/>
        <v>907</v>
      </c>
      <c r="R20" s="1173">
        <f t="shared" si="4"/>
        <v>893</v>
      </c>
      <c r="S20" s="1178" t="s">
        <v>82</v>
      </c>
      <c r="T20" s="1140"/>
      <c r="U20" s="1140"/>
    </row>
    <row r="21" spans="1:21" ht="15">
      <c r="A21" s="12"/>
      <c r="B21" s="4" t="s">
        <v>20</v>
      </c>
      <c r="C21" s="1239"/>
      <c r="D21" s="1239"/>
      <c r="E21" s="1239" t="s">
        <v>37</v>
      </c>
      <c r="F21" s="1014">
        <v>228</v>
      </c>
      <c r="G21" s="1015">
        <v>224</v>
      </c>
      <c r="H21" s="1015">
        <v>227</v>
      </c>
      <c r="I21" s="1016">
        <v>224</v>
      </c>
      <c r="J21" s="1016">
        <v>233</v>
      </c>
      <c r="K21" s="1016">
        <v>231</v>
      </c>
      <c r="L21" s="1016">
        <v>231</v>
      </c>
      <c r="M21" s="1016">
        <v>229</v>
      </c>
      <c r="N21" s="1145">
        <v>229</v>
      </c>
      <c r="O21" s="1016">
        <v>229</v>
      </c>
      <c r="P21" s="1016">
        <v>235</v>
      </c>
      <c r="Q21" s="1017">
        <v>235</v>
      </c>
      <c r="R21" s="1173">
        <f t="shared" si="4"/>
        <v>231</v>
      </c>
      <c r="S21" s="1178" t="s">
        <v>82</v>
      </c>
      <c r="T21" s="1140"/>
      <c r="U21" s="1140"/>
    </row>
    <row r="22" spans="1:21" ht="15">
      <c r="A22" s="14"/>
      <c r="B22" s="4" t="s">
        <v>31</v>
      </c>
      <c r="C22" s="1239"/>
      <c r="D22" s="1239"/>
      <c r="E22" s="1239" t="s">
        <v>37</v>
      </c>
      <c r="F22" s="1014">
        <v>50</v>
      </c>
      <c r="G22" s="1015">
        <v>52</v>
      </c>
      <c r="H22" s="1015">
        <v>51</v>
      </c>
      <c r="I22" s="1016">
        <v>51</v>
      </c>
      <c r="J22" s="1016">
        <v>49</v>
      </c>
      <c r="K22" s="1016">
        <v>48</v>
      </c>
      <c r="L22" s="1016">
        <v>49</v>
      </c>
      <c r="M22" s="1016">
        <v>47</v>
      </c>
      <c r="N22" s="1145">
        <v>49</v>
      </c>
      <c r="O22" s="1016">
        <v>50</v>
      </c>
      <c r="P22" s="1016">
        <v>52</v>
      </c>
      <c r="Q22" s="1017">
        <v>48</v>
      </c>
      <c r="R22" s="1173">
        <f t="shared" si="4"/>
        <v>48</v>
      </c>
      <c r="S22" s="1178" t="s">
        <v>82</v>
      </c>
      <c r="T22" s="1140"/>
      <c r="U22" s="1140"/>
    </row>
    <row r="23" spans="1:21" ht="15">
      <c r="A23" s="1240"/>
      <c r="B23" s="4" t="s">
        <v>1</v>
      </c>
      <c r="C23" s="1239"/>
      <c r="D23" s="1239"/>
      <c r="E23" s="1239" t="s">
        <v>37</v>
      </c>
      <c r="F23" s="1014">
        <v>620</v>
      </c>
      <c r="G23" s="1015">
        <v>624</v>
      </c>
      <c r="H23" s="1015">
        <v>627</v>
      </c>
      <c r="I23" s="1016">
        <v>630</v>
      </c>
      <c r="J23" s="1016">
        <v>634</v>
      </c>
      <c r="K23" s="1016">
        <v>614</v>
      </c>
      <c r="L23" s="1016">
        <v>620</v>
      </c>
      <c r="M23" s="1016">
        <v>621</v>
      </c>
      <c r="N23" s="1145">
        <v>633</v>
      </c>
      <c r="O23" s="1016">
        <v>613</v>
      </c>
      <c r="P23" s="1016">
        <v>602</v>
      </c>
      <c r="Q23" s="1017">
        <v>624</v>
      </c>
      <c r="R23" s="1173">
        <f t="shared" si="4"/>
        <v>614</v>
      </c>
      <c r="S23" s="1178" t="s">
        <v>82</v>
      </c>
      <c r="T23" s="1140"/>
      <c r="U23" s="1140"/>
    </row>
    <row r="24" spans="1:21" ht="15">
      <c r="A24" s="39" t="s">
        <v>0</v>
      </c>
      <c r="B24" s="1239"/>
      <c r="C24" s="1239"/>
      <c r="D24" s="1239"/>
      <c r="E24" s="1239" t="s">
        <v>36</v>
      </c>
      <c r="F24" s="1014">
        <f t="shared" ref="F24:M24" si="7">SUM(F25:F27)</f>
        <v>160292276</v>
      </c>
      <c r="G24" s="1015">
        <f t="shared" si="7"/>
        <v>154322049</v>
      </c>
      <c r="H24" s="1015">
        <f t="shared" si="7"/>
        <v>159994784</v>
      </c>
      <c r="I24" s="1016">
        <f t="shared" si="7"/>
        <v>156960080</v>
      </c>
      <c r="J24" s="1016">
        <f t="shared" si="7"/>
        <v>164022197</v>
      </c>
      <c r="K24" s="1016">
        <f t="shared" si="7"/>
        <v>159518050</v>
      </c>
      <c r="L24" s="1011">
        <f t="shared" si="7"/>
        <v>157391936</v>
      </c>
      <c r="M24" s="1016">
        <f t="shared" si="7"/>
        <v>163501379</v>
      </c>
      <c r="N24" s="1016">
        <f t="shared" ref="N24:Q24" si="8">SUM(N25:N27)</f>
        <v>156683109</v>
      </c>
      <c r="O24" s="1011">
        <f t="shared" si="8"/>
        <v>161769861</v>
      </c>
      <c r="P24" s="1011">
        <f t="shared" si="8"/>
        <v>159259484</v>
      </c>
      <c r="Q24" s="1011">
        <f t="shared" si="8"/>
        <v>149654694</v>
      </c>
      <c r="R24" s="1145">
        <f>SUM(R25:R27)</f>
        <v>1903369899</v>
      </c>
      <c r="S24" s="1133">
        <f>SUM(S25:S27)</f>
        <v>2162910000</v>
      </c>
      <c r="T24" s="1140"/>
      <c r="U24" s="1140"/>
    </row>
    <row r="25" spans="1:21" ht="15">
      <c r="A25" s="12"/>
      <c r="B25" s="4" t="s">
        <v>20</v>
      </c>
      <c r="C25" s="1239"/>
      <c r="D25" s="1239"/>
      <c r="E25" s="1239" t="s">
        <v>36</v>
      </c>
      <c r="F25" s="1014">
        <f>'総括表詳細（給付費R2)'!H4</f>
        <v>67239304</v>
      </c>
      <c r="G25" s="1015">
        <f>'総括表詳細（給付費R2)'!I4</f>
        <v>64189799</v>
      </c>
      <c r="H25" s="1015">
        <f>'総括表詳細（給付費R2)'!J4</f>
        <v>65829742</v>
      </c>
      <c r="I25" s="1016">
        <f>'総括表詳細（給付費R2)'!K4</f>
        <v>63392584</v>
      </c>
      <c r="J25" s="1016">
        <f>'総括表詳細（給付費R2)'!L4</f>
        <v>65194441</v>
      </c>
      <c r="K25" s="1016">
        <f>'総括表詳細（給付費R2)'!M4</f>
        <v>64425065</v>
      </c>
      <c r="L25" s="1016">
        <f>'総括表詳細（給付費R2)'!N4</f>
        <v>63133076</v>
      </c>
      <c r="M25" s="1016">
        <f>'総括表詳細（給付費R2)'!O4</f>
        <v>66317069</v>
      </c>
      <c r="N25" s="1016">
        <f>'総括表詳細（給付費R2)'!P4</f>
        <v>64070741</v>
      </c>
      <c r="O25" s="1016">
        <f>'総括表詳細（給付費R2)'!Q4</f>
        <v>65416781</v>
      </c>
      <c r="P25" s="1016">
        <f>'総括表詳細（給付費R2)'!R4</f>
        <v>67089177</v>
      </c>
      <c r="Q25" s="1016">
        <f>'総括表詳細（給付費R2)'!S4</f>
        <v>61543777</v>
      </c>
      <c r="R25" s="1145">
        <f>SUM(F25:Q25)</f>
        <v>777841556</v>
      </c>
      <c r="S25" s="1133">
        <v>722472000</v>
      </c>
      <c r="T25" s="1140"/>
      <c r="U25" s="1140"/>
    </row>
    <row r="26" spans="1:21" ht="15">
      <c r="A26" s="14"/>
      <c r="B26" s="4" t="s">
        <v>31</v>
      </c>
      <c r="C26" s="1239"/>
      <c r="D26" s="1239"/>
      <c r="E26" s="1239" t="s">
        <v>36</v>
      </c>
      <c r="F26" s="1014">
        <f>'総括表詳細（給付費R2)'!H10</f>
        <v>13523283</v>
      </c>
      <c r="G26" s="1015">
        <f>'総括表詳細（給付費R2)'!I10</f>
        <v>12578526</v>
      </c>
      <c r="H26" s="1015">
        <f>'総括表詳細（給付費R2)'!J10</f>
        <v>13234833</v>
      </c>
      <c r="I26" s="1016">
        <f>'総括表詳細（給付費R2)'!K10</f>
        <v>13107276</v>
      </c>
      <c r="J26" s="1016">
        <f>'総括表詳細（給付費R2)'!L10</f>
        <v>12977145</v>
      </c>
      <c r="K26" s="1016">
        <f>'総括表詳細（給付費R2)'!M10</f>
        <v>12059271</v>
      </c>
      <c r="L26" s="1016">
        <f>'総括表詳細（給付費R2)'!N10</f>
        <v>11297673</v>
      </c>
      <c r="M26" s="1016">
        <f>'総括表詳細（給付費R2)'!O10</f>
        <v>12534705</v>
      </c>
      <c r="N26" s="1016">
        <f>'総括表詳細（給付費R2)'!P10</f>
        <v>11700531</v>
      </c>
      <c r="O26" s="1016">
        <f>'総括表詳細（給付費R2)'!Q10</f>
        <v>12381345</v>
      </c>
      <c r="P26" s="1016">
        <f>'総括表詳細（給付費R2)'!R10</f>
        <v>12865770</v>
      </c>
      <c r="Q26" s="1016">
        <f>'総括表詳細（給付費R2)'!S10</f>
        <v>11912211</v>
      </c>
      <c r="R26" s="1145">
        <f>SUM(F26:Q26)</f>
        <v>150172569</v>
      </c>
      <c r="S26" s="1133">
        <v>173282000</v>
      </c>
      <c r="T26" s="1140"/>
      <c r="U26" s="1140"/>
    </row>
    <row r="27" spans="1:21" ht="15">
      <c r="A27" s="1240"/>
      <c r="B27" s="4" t="s">
        <v>1</v>
      </c>
      <c r="C27" s="1239"/>
      <c r="D27" s="1239"/>
      <c r="E27" s="1239" t="s">
        <v>36</v>
      </c>
      <c r="F27" s="1014">
        <f>'総括表詳細（給付費R2)'!H14</f>
        <v>79529689</v>
      </c>
      <c r="G27" s="1015">
        <f>'総括表詳細（給付費R2)'!I14</f>
        <v>77553724</v>
      </c>
      <c r="H27" s="1015">
        <f>'総括表詳細（給付費R2)'!J14</f>
        <v>80930209</v>
      </c>
      <c r="I27" s="1016">
        <f>'総括表詳細（給付費R2)'!K14</f>
        <v>80460220</v>
      </c>
      <c r="J27" s="1016">
        <f>'総括表詳細（給付費R2)'!L14</f>
        <v>85850611</v>
      </c>
      <c r="K27" s="1016">
        <f>'総括表詳細（給付費R2)'!M14</f>
        <v>83033714</v>
      </c>
      <c r="L27" s="1016">
        <f>'総括表詳細（給付費R2)'!N14</f>
        <v>82961187</v>
      </c>
      <c r="M27" s="1016">
        <f>'総括表詳細（給付費R2)'!O14</f>
        <v>84649605</v>
      </c>
      <c r="N27" s="1016">
        <f>'総括表詳細（給付費R2)'!P14</f>
        <v>80911837</v>
      </c>
      <c r="O27" s="1016">
        <f>'総括表詳細（給付費R2)'!Q14</f>
        <v>83971735</v>
      </c>
      <c r="P27" s="1016">
        <f>'総括表詳細（給付費R2)'!R14</f>
        <v>79304537</v>
      </c>
      <c r="Q27" s="1016">
        <f>'総括表詳細（給付費R2)'!S14</f>
        <v>76198706</v>
      </c>
      <c r="R27" s="1145">
        <f>SUM(F27:Q27)</f>
        <v>975355774</v>
      </c>
      <c r="S27" s="1133">
        <v>1267156000</v>
      </c>
      <c r="T27" s="1140"/>
      <c r="U27" s="1140"/>
    </row>
    <row r="28" spans="1:21" ht="15">
      <c r="A28" s="1238" t="s">
        <v>157</v>
      </c>
      <c r="B28" s="1239"/>
      <c r="C28" s="1239"/>
      <c r="D28" s="1239"/>
      <c r="E28" s="1239" t="s">
        <v>36</v>
      </c>
      <c r="F28" s="1014">
        <f t="shared" ref="F28:L28" si="9">F24/F5</f>
        <v>24162.236358154958</v>
      </c>
      <c r="G28" s="1015">
        <f t="shared" si="9"/>
        <v>23248.274932208496</v>
      </c>
      <c r="H28" s="1015">
        <f t="shared" si="9"/>
        <v>24041.289857250187</v>
      </c>
      <c r="I28" s="1016">
        <f t="shared" si="9"/>
        <v>23567.579579579578</v>
      </c>
      <c r="J28" s="1016">
        <f t="shared" si="9"/>
        <v>24609.481920480121</v>
      </c>
      <c r="K28" s="1016">
        <f t="shared" si="9"/>
        <v>23926.511174441279</v>
      </c>
      <c r="L28" s="1016">
        <f t="shared" si="9"/>
        <v>23614.694073518378</v>
      </c>
      <c r="M28" s="1016">
        <f t="shared" ref="M28:Q28" si="10">M24/M5</f>
        <v>24483.584755914944</v>
      </c>
      <c r="N28" s="1016">
        <f t="shared" si="10"/>
        <v>23462.579964061097</v>
      </c>
      <c r="O28" s="1016">
        <f t="shared" si="10"/>
        <v>24220.670908818687</v>
      </c>
      <c r="P28" s="1016">
        <f t="shared" si="10"/>
        <v>23798.488344291691</v>
      </c>
      <c r="Q28" s="1016">
        <f t="shared" si="10"/>
        <v>22333.188180868528</v>
      </c>
      <c r="R28" s="1145">
        <f>R24/R5/10</f>
        <v>28549.121028948553</v>
      </c>
      <c r="S28" s="1133">
        <f>S24/S5/12</f>
        <v>27165.410700828939</v>
      </c>
      <c r="T28" s="1140"/>
      <c r="U28" s="1140"/>
    </row>
    <row r="29" spans="1:21" ht="15.75" thickBot="1">
      <c r="A29" s="40" t="s">
        <v>158</v>
      </c>
      <c r="B29" s="41"/>
      <c r="C29" s="41"/>
      <c r="D29" s="41"/>
      <c r="E29" s="41" t="s">
        <v>36</v>
      </c>
      <c r="F29" s="1084">
        <f t="shared" ref="F29:L29" si="11">F24/F8</f>
        <v>160132.14385614387</v>
      </c>
      <c r="G29" s="1085">
        <f t="shared" si="11"/>
        <v>153707.22011952192</v>
      </c>
      <c r="H29" s="1085">
        <f t="shared" si="11"/>
        <v>158724.98412698411</v>
      </c>
      <c r="I29" s="1086">
        <f t="shared" si="11"/>
        <v>154945.7847976308</v>
      </c>
      <c r="J29" s="1086">
        <f t="shared" si="11"/>
        <v>162882.02284011917</v>
      </c>
      <c r="K29" s="1086">
        <f t="shared" si="11"/>
        <v>159199.65069860278</v>
      </c>
      <c r="L29" s="1086">
        <f t="shared" si="11"/>
        <v>156608.89154228856</v>
      </c>
      <c r="M29" s="1086">
        <f t="shared" ref="M29:Q29" si="12">M24/M8</f>
        <v>163338.04095904095</v>
      </c>
      <c r="N29" s="1086">
        <f t="shared" si="12"/>
        <v>155439.59226190476</v>
      </c>
      <c r="O29" s="1086">
        <f t="shared" si="12"/>
        <v>160009.75370919882</v>
      </c>
      <c r="P29" s="1086">
        <f t="shared" si="12"/>
        <v>157995.51984126985</v>
      </c>
      <c r="Q29" s="1086">
        <f t="shared" si="12"/>
        <v>145578.49610894942</v>
      </c>
      <c r="R29" s="1185">
        <f>R24/R8/10</f>
        <v>189957.075748503</v>
      </c>
      <c r="S29" s="1186">
        <f>S24/S8/12</f>
        <v>132045.78754578755</v>
      </c>
      <c r="T29" s="1140"/>
      <c r="U29" s="1140"/>
    </row>
    <row r="30" spans="1:21" ht="13.5" customHeight="1" thickBot="1">
      <c r="A30" s="1140"/>
      <c r="B30" s="1140"/>
      <c r="C30" s="1140"/>
      <c r="D30" s="1140"/>
      <c r="E30" s="1140"/>
      <c r="F30" s="1140"/>
      <c r="G30" s="1140"/>
      <c r="H30" s="1140"/>
      <c r="I30" s="1140"/>
      <c r="J30" s="1140"/>
      <c r="K30" s="1140"/>
      <c r="L30" s="1140"/>
      <c r="M30" s="1140"/>
      <c r="N30" s="1140"/>
      <c r="O30" s="1140"/>
      <c r="P30" s="1140"/>
      <c r="Q30" s="1140"/>
      <c r="R30" s="1140"/>
      <c r="S30" s="1140"/>
      <c r="T30" s="1140"/>
      <c r="U30" s="1140"/>
    </row>
    <row r="31" spans="1:21" ht="16.5" customHeight="1">
      <c r="A31" s="10"/>
      <c r="B31" s="11"/>
      <c r="C31" s="11"/>
      <c r="D31" s="11"/>
      <c r="E31" s="11"/>
      <c r="F31" s="1292" t="s">
        <v>70</v>
      </c>
      <c r="G31" s="1293"/>
      <c r="H31" s="1005"/>
      <c r="I31" s="1005"/>
      <c r="J31" s="1005"/>
      <c r="K31" s="1005"/>
      <c r="L31" s="1005"/>
      <c r="M31" s="1005"/>
      <c r="N31" s="1005"/>
      <c r="O31" s="1005"/>
      <c r="P31" s="1005"/>
      <c r="Q31" s="1005"/>
      <c r="R31" s="1005"/>
      <c r="S31" s="1005"/>
      <c r="T31" s="1140"/>
      <c r="U31" s="1140"/>
    </row>
    <row r="32" spans="1:21" ht="15.75" thickBot="1">
      <c r="A32" s="19"/>
      <c r="B32" s="20"/>
      <c r="C32" s="20"/>
      <c r="D32" s="20"/>
      <c r="E32" s="20"/>
      <c r="F32" s="1278" t="s">
        <v>169</v>
      </c>
      <c r="G32" s="1279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1140"/>
      <c r="U32" s="1140"/>
    </row>
    <row r="33" spans="1:21" ht="15.75" thickTop="1">
      <c r="A33" s="51" t="s">
        <v>80</v>
      </c>
      <c r="B33" s="28"/>
      <c r="C33" s="28"/>
      <c r="D33" s="28"/>
      <c r="E33" s="28" t="s">
        <v>37</v>
      </c>
      <c r="F33" s="1280">
        <f>R5/S5*100</f>
        <v>100.482290881688</v>
      </c>
      <c r="G33" s="1281"/>
      <c r="H33" s="1249"/>
      <c r="I33" s="1252"/>
      <c r="J33" s="1252"/>
      <c r="K33" s="1252"/>
      <c r="L33" s="95"/>
      <c r="M33" s="95"/>
      <c r="N33" s="95"/>
      <c r="O33" s="1244"/>
      <c r="P33" s="1244"/>
      <c r="Q33" s="1244"/>
      <c r="R33" s="1244"/>
      <c r="S33" s="1244"/>
      <c r="T33" s="1140"/>
      <c r="U33" s="1140"/>
    </row>
    <row r="34" spans="1:21" ht="15">
      <c r="A34" s="1238" t="s">
        <v>78</v>
      </c>
      <c r="B34" s="1239"/>
      <c r="C34" s="1239"/>
      <c r="D34" s="1239"/>
      <c r="E34" s="1239" t="s">
        <v>37</v>
      </c>
      <c r="F34" s="1282">
        <f>R8/S8*100</f>
        <v>73.406593406593402</v>
      </c>
      <c r="G34" s="1283"/>
      <c r="H34" s="1255"/>
      <c r="I34" s="1252"/>
      <c r="J34" s="1252"/>
      <c r="K34" s="1252"/>
      <c r="L34" s="95"/>
      <c r="M34" s="95"/>
      <c r="N34" s="95"/>
      <c r="O34" s="1244"/>
      <c r="P34" s="1244"/>
      <c r="Q34" s="1244"/>
      <c r="R34" s="1244"/>
      <c r="S34" s="1244"/>
      <c r="T34" s="1140"/>
      <c r="U34" s="1140"/>
    </row>
    <row r="35" spans="1:21" ht="15">
      <c r="A35" s="1238" t="s">
        <v>79</v>
      </c>
      <c r="B35" s="1239"/>
      <c r="C35" s="1239"/>
      <c r="D35" s="1239"/>
      <c r="E35" s="1239" t="s">
        <v>43</v>
      </c>
      <c r="F35" s="1282">
        <f>R19/S19*100</f>
        <v>73.054259374943342</v>
      </c>
      <c r="G35" s="1283"/>
      <c r="H35" s="1255"/>
      <c r="I35" s="1252"/>
      <c r="J35" s="1252"/>
      <c r="K35" s="1252"/>
      <c r="L35" s="1243"/>
      <c r="M35" s="1243"/>
      <c r="N35" s="1243"/>
      <c r="O35" s="1242"/>
      <c r="P35" s="1242"/>
      <c r="Q35" s="1242"/>
      <c r="R35" s="1242"/>
      <c r="S35" s="1242"/>
      <c r="T35" s="1140"/>
      <c r="U35" s="1140"/>
    </row>
    <row r="36" spans="1:21" ht="15">
      <c r="A36" s="39" t="s">
        <v>0</v>
      </c>
      <c r="B36" s="1239"/>
      <c r="C36" s="1239"/>
      <c r="D36" s="1239"/>
      <c r="E36" s="1239" t="s">
        <v>36</v>
      </c>
      <c r="F36" s="1295">
        <f t="shared" ref="F36:F41" si="13">R24/S24*100</f>
        <v>88.000420683246176</v>
      </c>
      <c r="G36" s="1296"/>
      <c r="H36" s="1249"/>
      <c r="I36" s="1252"/>
      <c r="J36" s="1252"/>
      <c r="K36" s="1252"/>
      <c r="L36" s="95"/>
      <c r="M36" s="95"/>
      <c r="N36" s="95"/>
      <c r="O36" s="1244"/>
      <c r="P36" s="1244"/>
      <c r="Q36" s="1244"/>
      <c r="R36" s="1244"/>
      <c r="S36" s="1244"/>
      <c r="T36" s="1140"/>
      <c r="U36" s="1140"/>
    </row>
    <row r="37" spans="1:21" ht="15">
      <c r="A37" s="12"/>
      <c r="B37" s="4" t="s">
        <v>20</v>
      </c>
      <c r="C37" s="1239"/>
      <c r="D37" s="1239"/>
      <c r="E37" s="1239" t="s">
        <v>36</v>
      </c>
      <c r="F37" s="1295">
        <f t="shared" si="13"/>
        <v>107.66390337618621</v>
      </c>
      <c r="G37" s="1296"/>
      <c r="H37" s="1255"/>
      <c r="I37" s="1252"/>
      <c r="J37" s="1252"/>
      <c r="K37" s="1252"/>
      <c r="L37" s="95"/>
      <c r="M37" s="95"/>
      <c r="N37" s="95"/>
      <c r="O37" s="1244"/>
      <c r="P37" s="1244"/>
      <c r="Q37" s="1244"/>
      <c r="R37" s="1244"/>
      <c r="S37" s="1244"/>
      <c r="T37" s="1140"/>
      <c r="U37" s="1140"/>
    </row>
    <row r="38" spans="1:21" ht="15">
      <c r="A38" s="14"/>
      <c r="B38" s="4" t="s">
        <v>31</v>
      </c>
      <c r="C38" s="1239"/>
      <c r="D38" s="1239"/>
      <c r="E38" s="1239" t="s">
        <v>36</v>
      </c>
      <c r="F38" s="1295">
        <f t="shared" si="13"/>
        <v>86.663686360960739</v>
      </c>
      <c r="G38" s="1296"/>
      <c r="H38" s="1253"/>
      <c r="I38" s="1252"/>
      <c r="J38" s="1252"/>
      <c r="K38" s="1252"/>
      <c r="L38" s="95"/>
      <c r="M38" s="95"/>
      <c r="N38" s="95"/>
      <c r="O38" s="1244"/>
      <c r="P38" s="1244"/>
      <c r="Q38" s="1244"/>
      <c r="R38" s="1244"/>
      <c r="S38" s="1244"/>
      <c r="T38" s="1140"/>
      <c r="U38" s="1140"/>
    </row>
    <row r="39" spans="1:21" ht="15">
      <c r="A39" s="1240"/>
      <c r="B39" s="4" t="s">
        <v>1</v>
      </c>
      <c r="C39" s="1239"/>
      <c r="D39" s="1239"/>
      <c r="E39" s="1239" t="s">
        <v>36</v>
      </c>
      <c r="F39" s="1295">
        <f t="shared" si="13"/>
        <v>76.972036118678361</v>
      </c>
      <c r="G39" s="1296"/>
      <c r="H39" s="1249"/>
      <c r="I39" s="1252"/>
      <c r="J39" s="1252"/>
      <c r="K39" s="1251"/>
      <c r="L39" s="95"/>
      <c r="M39" s="95"/>
      <c r="N39" s="95"/>
      <c r="O39" s="1244"/>
      <c r="P39" s="1244"/>
      <c r="Q39" s="1244"/>
      <c r="R39" s="1244"/>
      <c r="S39" s="1244"/>
      <c r="T39" s="1140"/>
      <c r="U39" s="1140"/>
    </row>
    <row r="40" spans="1:21" ht="15">
      <c r="A40" s="1238" t="s">
        <v>159</v>
      </c>
      <c r="B40" s="1239"/>
      <c r="C40" s="1239"/>
      <c r="D40" s="1239"/>
      <c r="E40" s="1239" t="s">
        <v>36</v>
      </c>
      <c r="F40" s="1295">
        <f t="shared" si="13"/>
        <v>105.09364773961394</v>
      </c>
      <c r="G40" s="1296"/>
      <c r="H40" s="1249"/>
      <c r="I40" s="1252"/>
      <c r="J40" s="1252"/>
      <c r="K40" s="1252"/>
      <c r="L40" s="1243"/>
      <c r="M40" s="1243"/>
      <c r="N40" s="1243"/>
      <c r="O40" s="1242"/>
      <c r="P40" s="1242"/>
      <c r="Q40" s="1242"/>
      <c r="R40" s="1242"/>
      <c r="S40" s="1242"/>
      <c r="T40" s="1140"/>
      <c r="U40" s="1140"/>
    </row>
    <row r="41" spans="1:21" ht="15.75" thickBot="1">
      <c r="A41" s="40" t="s">
        <v>160</v>
      </c>
      <c r="B41" s="41"/>
      <c r="C41" s="41"/>
      <c r="D41" s="41"/>
      <c r="E41" s="41" t="s">
        <v>36</v>
      </c>
      <c r="F41" s="1297">
        <f t="shared" si="13"/>
        <v>143.85697512889945</v>
      </c>
      <c r="G41" s="1298"/>
      <c r="H41" s="1249"/>
      <c r="I41" s="1252"/>
      <c r="J41" s="1252"/>
      <c r="K41" s="1252"/>
      <c r="L41" s="1243"/>
      <c r="M41" s="1243"/>
      <c r="N41" s="1243"/>
      <c r="O41" s="1242"/>
      <c r="P41" s="1242"/>
      <c r="Q41" s="1242"/>
      <c r="R41" s="1242"/>
      <c r="S41" s="1242"/>
      <c r="T41" s="1140"/>
      <c r="U41" s="1140"/>
    </row>
    <row r="42" spans="1:21" ht="13.5" customHeight="1">
      <c r="A42" s="1140"/>
      <c r="B42" s="1140"/>
      <c r="C42" s="1140"/>
      <c r="D42" s="1140"/>
      <c r="E42" s="1140"/>
      <c r="F42" s="1140"/>
      <c r="G42" s="1140"/>
      <c r="H42" s="1140"/>
      <c r="I42" s="1140"/>
      <c r="J42" s="1140"/>
      <c r="K42" s="1140"/>
      <c r="L42" s="1140"/>
      <c r="M42" s="1140"/>
      <c r="N42" s="1140"/>
      <c r="O42" s="1140"/>
      <c r="P42" s="1140"/>
      <c r="Q42" s="1140"/>
      <c r="R42" s="1140"/>
      <c r="S42" s="1140"/>
      <c r="T42" s="1140"/>
      <c r="U42" s="1140"/>
    </row>
    <row r="43" spans="1:21" ht="15" customHeight="1">
      <c r="A43" s="1294" t="s">
        <v>187</v>
      </c>
      <c r="B43" s="1294"/>
      <c r="C43" s="1294"/>
      <c r="D43" s="1294"/>
      <c r="E43" s="1294"/>
      <c r="F43" s="1294"/>
      <c r="G43" s="1294"/>
      <c r="H43" s="1294"/>
      <c r="I43" s="1294"/>
      <c r="J43" s="1294"/>
      <c r="K43" s="1294"/>
      <c r="L43" s="1294"/>
      <c r="M43" s="1294"/>
      <c r="N43" s="1294"/>
      <c r="O43" s="1294"/>
      <c r="P43" s="1294"/>
      <c r="Q43" s="1294"/>
      <c r="R43" s="1294"/>
      <c r="S43" s="1294"/>
      <c r="T43" s="1140"/>
      <c r="U43" s="1140"/>
    </row>
    <row r="44" spans="1:21" ht="15">
      <c r="A44" s="1294"/>
      <c r="B44" s="1294"/>
      <c r="C44" s="1294"/>
      <c r="D44" s="1294"/>
      <c r="E44" s="1294"/>
      <c r="F44" s="1294"/>
      <c r="G44" s="1294"/>
      <c r="H44" s="1294"/>
      <c r="I44" s="1294"/>
      <c r="J44" s="1294"/>
      <c r="K44" s="1294"/>
      <c r="L44" s="1294"/>
      <c r="M44" s="1294"/>
      <c r="N44" s="1294"/>
      <c r="O44" s="1294"/>
      <c r="P44" s="1294"/>
      <c r="Q44" s="1294"/>
      <c r="R44" s="1294"/>
      <c r="S44" s="1294"/>
      <c r="T44" s="1140"/>
      <c r="U44" s="1140"/>
    </row>
    <row r="45" spans="1:21" ht="15">
      <c r="A45" s="1294"/>
      <c r="B45" s="1294"/>
      <c r="C45" s="1294"/>
      <c r="D45" s="1294"/>
      <c r="E45" s="1294"/>
      <c r="F45" s="1294"/>
      <c r="G45" s="1294"/>
      <c r="H45" s="1294"/>
      <c r="I45" s="1294"/>
      <c r="J45" s="1294"/>
      <c r="K45" s="1294"/>
      <c r="L45" s="1294"/>
      <c r="M45" s="1294"/>
      <c r="N45" s="1294"/>
      <c r="O45" s="1294"/>
      <c r="P45" s="1294"/>
      <c r="Q45" s="1294"/>
      <c r="R45" s="1294"/>
      <c r="S45" s="1294"/>
      <c r="T45" s="1140"/>
      <c r="U45" s="1140"/>
    </row>
    <row r="46" spans="1:21" ht="16.5" customHeight="1">
      <c r="A46" s="1294"/>
      <c r="B46" s="1294"/>
      <c r="C46" s="1294"/>
      <c r="D46" s="1294"/>
      <c r="E46" s="1294"/>
      <c r="F46" s="1294"/>
      <c r="G46" s="1294"/>
      <c r="H46" s="1294"/>
      <c r="I46" s="1294"/>
      <c r="J46" s="1294"/>
      <c r="K46" s="1294"/>
      <c r="L46" s="1294"/>
      <c r="M46" s="1294"/>
      <c r="N46" s="1294"/>
      <c r="O46" s="1294"/>
      <c r="P46" s="1294"/>
      <c r="Q46" s="1294"/>
      <c r="R46" s="1294"/>
      <c r="S46" s="1294"/>
      <c r="T46" s="1140"/>
      <c r="U46" s="1140"/>
    </row>
    <row r="47" spans="1:21" ht="16.5" customHeight="1">
      <c r="A47" s="1140"/>
      <c r="B47" s="1140"/>
      <c r="C47" s="1140"/>
      <c r="D47" s="1140"/>
      <c r="E47" s="1140"/>
      <c r="F47" s="1140"/>
      <c r="G47" s="1140"/>
      <c r="H47" s="1140"/>
      <c r="I47" s="1140"/>
      <c r="J47" s="1140"/>
      <c r="K47" s="1140"/>
      <c r="L47" s="1140"/>
      <c r="M47" s="1140"/>
      <c r="N47" s="1140"/>
      <c r="O47" s="1140"/>
      <c r="P47" s="1140"/>
      <c r="Q47" s="1140"/>
      <c r="R47" s="1140"/>
      <c r="S47" s="1140"/>
      <c r="T47" s="1140"/>
      <c r="U47" s="1140"/>
    </row>
    <row r="48" spans="1:21" ht="16.5" customHeight="1">
      <c r="A48" s="1140"/>
      <c r="B48" s="1140"/>
      <c r="C48" s="1140"/>
      <c r="D48" s="1140"/>
      <c r="E48" s="1140"/>
      <c r="F48" s="1140"/>
      <c r="G48" s="1140"/>
      <c r="H48" s="1140"/>
      <c r="I48" s="1140"/>
      <c r="J48" s="1140"/>
      <c r="K48" s="1140"/>
      <c r="L48" s="1140"/>
      <c r="M48" s="1140"/>
      <c r="N48" s="1140"/>
      <c r="O48" s="1140"/>
      <c r="P48" s="1140"/>
      <c r="Q48" s="1140"/>
      <c r="R48" s="1140"/>
      <c r="S48" s="1140"/>
      <c r="T48" s="1140"/>
      <c r="U48" s="1140"/>
    </row>
    <row r="49" spans="1:21" ht="16.5" customHeight="1">
      <c r="A49" s="1140"/>
      <c r="B49" s="1140"/>
      <c r="C49" s="1140"/>
      <c r="D49" s="1140"/>
      <c r="E49" s="1140"/>
      <c r="F49" s="1140"/>
      <c r="G49" s="1140"/>
      <c r="H49" s="1140"/>
      <c r="I49" s="1140"/>
      <c r="J49" s="1140"/>
      <c r="K49" s="1140"/>
      <c r="L49" s="1140"/>
      <c r="M49" s="1140"/>
      <c r="N49" s="1140"/>
      <c r="O49" s="1140"/>
      <c r="P49" s="1140"/>
      <c r="Q49" s="1140"/>
      <c r="R49" s="1140"/>
      <c r="S49" s="1140"/>
      <c r="T49" s="1140"/>
      <c r="U49" s="1140"/>
    </row>
    <row r="50" spans="1:21" ht="15">
      <c r="A50" s="1140"/>
      <c r="B50" s="1140"/>
      <c r="C50" s="1140"/>
      <c r="D50" s="1140"/>
      <c r="E50" s="1140"/>
      <c r="F50" s="1140"/>
      <c r="G50" s="1140"/>
      <c r="H50" s="1140"/>
      <c r="I50" s="1140"/>
      <c r="J50" s="1140"/>
      <c r="K50" s="1140"/>
      <c r="L50" s="1140"/>
      <c r="M50" s="1140"/>
      <c r="N50" s="1140"/>
      <c r="O50" s="1140"/>
      <c r="P50" s="1140"/>
      <c r="Q50" s="1140"/>
      <c r="R50" s="1140"/>
      <c r="S50" s="1140"/>
      <c r="T50" s="1140"/>
      <c r="U50" s="1140"/>
    </row>
    <row r="51" spans="1:21" ht="15">
      <c r="A51" s="1140"/>
      <c r="B51" s="1140"/>
      <c r="C51" s="1140"/>
      <c r="D51" s="1140"/>
      <c r="E51" s="1140"/>
      <c r="F51" s="1140"/>
      <c r="G51" s="1140"/>
      <c r="H51" s="1140"/>
      <c r="I51" s="1140"/>
      <c r="J51" s="1140"/>
      <c r="K51" s="1140"/>
      <c r="L51" s="1140"/>
      <c r="M51" s="1140"/>
      <c r="N51" s="1140"/>
      <c r="O51" s="1140"/>
      <c r="P51" s="1140"/>
      <c r="Q51" s="1140"/>
      <c r="R51" s="1140"/>
      <c r="S51" s="1140"/>
      <c r="T51" s="1140"/>
      <c r="U51" s="1140"/>
    </row>
    <row r="52" spans="1:21" ht="15">
      <c r="A52" s="1140"/>
      <c r="B52" s="1140"/>
      <c r="C52" s="1140"/>
      <c r="D52" s="1140"/>
      <c r="E52" s="1140"/>
      <c r="F52" s="1140"/>
      <c r="G52" s="1140"/>
      <c r="H52" s="1140"/>
      <c r="I52" s="1140"/>
      <c r="J52" s="1140"/>
      <c r="K52" s="1140"/>
      <c r="L52" s="1140"/>
      <c r="M52" s="1140"/>
      <c r="N52" s="1140"/>
      <c r="O52" s="1140"/>
      <c r="P52" s="1140"/>
      <c r="Q52" s="1140"/>
      <c r="R52" s="1140"/>
      <c r="S52" s="1140"/>
      <c r="T52" s="1140"/>
      <c r="U52" s="1140"/>
    </row>
    <row r="53" spans="1:21" ht="16.5" customHeight="1">
      <c r="A53" s="1140"/>
      <c r="B53" s="1140"/>
      <c r="C53" s="1140"/>
      <c r="D53" s="1140"/>
      <c r="E53" s="1140"/>
      <c r="F53" s="1140"/>
      <c r="G53" s="1140"/>
      <c r="H53" s="1140"/>
      <c r="I53" s="1140"/>
      <c r="J53" s="1140"/>
      <c r="K53" s="1140"/>
      <c r="L53" s="1140"/>
      <c r="M53" s="1140"/>
      <c r="N53" s="1140"/>
      <c r="O53" s="1140"/>
      <c r="P53" s="1140"/>
      <c r="Q53" s="1140"/>
      <c r="R53" s="1140"/>
      <c r="S53" s="1140"/>
      <c r="T53" s="1140"/>
      <c r="U53" s="1140"/>
    </row>
    <row r="54" spans="1:21" ht="15">
      <c r="A54" s="1140"/>
      <c r="B54" s="1140"/>
      <c r="C54" s="1140"/>
      <c r="D54" s="1140"/>
      <c r="E54" s="1140"/>
      <c r="F54" s="1140"/>
      <c r="G54" s="1140"/>
      <c r="H54" s="1140"/>
      <c r="I54" s="1140"/>
      <c r="J54" s="1140"/>
      <c r="K54" s="1140"/>
      <c r="L54" s="1140"/>
      <c r="M54" s="1140"/>
      <c r="N54" s="1140"/>
      <c r="O54" s="1140"/>
      <c r="P54" s="1140"/>
      <c r="Q54" s="1140"/>
      <c r="R54" s="1140"/>
      <c r="S54" s="1140"/>
      <c r="T54" s="1140"/>
      <c r="U54" s="1140"/>
    </row>
    <row r="55" spans="1:21" ht="15">
      <c r="A55" s="1140"/>
      <c r="B55" s="1140"/>
      <c r="C55" s="1140"/>
      <c r="D55" s="1140"/>
      <c r="E55" s="1140"/>
      <c r="F55" s="1140"/>
      <c r="G55" s="1140"/>
      <c r="H55" s="1140"/>
      <c r="I55" s="1140"/>
      <c r="J55" s="1140"/>
      <c r="K55" s="1140"/>
      <c r="L55" s="1140"/>
      <c r="M55" s="1140"/>
      <c r="N55" s="1140"/>
      <c r="O55" s="1140"/>
      <c r="P55" s="1140"/>
      <c r="Q55" s="1140"/>
      <c r="R55" s="1140"/>
      <c r="S55" s="1140"/>
      <c r="T55" s="1140"/>
      <c r="U55" s="1140"/>
    </row>
    <row r="56" spans="1:21" ht="15">
      <c r="A56" s="1140"/>
      <c r="B56" s="1140"/>
      <c r="C56" s="1140"/>
      <c r="D56" s="1140"/>
      <c r="E56" s="1140"/>
      <c r="F56" s="1140"/>
      <c r="G56" s="1140"/>
      <c r="H56" s="1140"/>
      <c r="I56" s="1140"/>
      <c r="J56" s="1140"/>
      <c r="K56" s="1140"/>
      <c r="L56" s="1140"/>
      <c r="M56" s="1140"/>
      <c r="N56" s="1140"/>
      <c r="O56" s="1140"/>
      <c r="P56" s="1140"/>
      <c r="Q56" s="1140"/>
      <c r="R56" s="1140"/>
      <c r="S56" s="1140"/>
      <c r="T56" s="1140"/>
      <c r="U56" s="1140"/>
    </row>
    <row r="57" spans="1:21" ht="15">
      <c r="A57" s="1140"/>
      <c r="B57" s="1140"/>
      <c r="C57" s="1140"/>
      <c r="D57" s="1140"/>
      <c r="E57" s="1140"/>
      <c r="F57" s="1140"/>
      <c r="G57" s="1140"/>
      <c r="H57" s="1140"/>
      <c r="I57" s="1140"/>
      <c r="J57" s="1140"/>
      <c r="K57" s="1140"/>
      <c r="L57" s="1140"/>
      <c r="M57" s="1140"/>
      <c r="N57" s="1140"/>
      <c r="O57" s="1140"/>
      <c r="P57" s="1140"/>
      <c r="Q57" s="1140"/>
      <c r="R57" s="1140"/>
      <c r="S57" s="1140"/>
      <c r="T57" s="1140"/>
      <c r="U57" s="1140"/>
    </row>
    <row r="58" spans="1:21" ht="15">
      <c r="A58" s="1140"/>
      <c r="B58" s="1140"/>
      <c r="C58" s="1140"/>
      <c r="D58" s="1140"/>
      <c r="E58" s="1140"/>
      <c r="F58" s="1140"/>
      <c r="G58" s="1140"/>
      <c r="H58" s="1140"/>
      <c r="I58" s="1140"/>
      <c r="J58" s="1140"/>
      <c r="K58" s="1140"/>
      <c r="L58" s="1140"/>
      <c r="M58" s="1140"/>
      <c r="N58" s="1140"/>
      <c r="O58" s="1140"/>
      <c r="P58" s="1140"/>
      <c r="Q58" s="1140"/>
      <c r="R58" s="1140"/>
      <c r="S58" s="1140"/>
      <c r="T58" s="1140"/>
      <c r="U58" s="1140"/>
    </row>
    <row r="59" spans="1:21" ht="15">
      <c r="A59" s="1140"/>
      <c r="B59" s="1140"/>
      <c r="C59" s="1140"/>
      <c r="D59" s="1140"/>
      <c r="E59" s="1140"/>
      <c r="F59" s="1140"/>
      <c r="G59" s="1140"/>
      <c r="H59" s="1140"/>
      <c r="I59" s="1140"/>
      <c r="J59" s="1140"/>
      <c r="K59" s="1140"/>
      <c r="L59" s="1140"/>
      <c r="M59" s="1140"/>
      <c r="N59" s="1140"/>
      <c r="O59" s="1140"/>
      <c r="P59" s="1140"/>
      <c r="Q59" s="1140"/>
      <c r="R59" s="1140"/>
      <c r="S59" s="1140"/>
      <c r="T59" s="1140"/>
      <c r="U59" s="1140"/>
    </row>
    <row r="60" spans="1:21" ht="15">
      <c r="A60" s="1140"/>
      <c r="B60" s="1140"/>
      <c r="C60" s="1140"/>
      <c r="D60" s="1140"/>
      <c r="E60" s="1140"/>
      <c r="F60" s="1140"/>
      <c r="G60" s="1140"/>
      <c r="H60" s="1140"/>
      <c r="I60" s="1140"/>
      <c r="J60" s="1140"/>
      <c r="K60" s="1140"/>
      <c r="L60" s="1140"/>
      <c r="M60" s="1140"/>
      <c r="N60" s="1140"/>
      <c r="O60" s="1140"/>
      <c r="P60" s="1140"/>
      <c r="Q60" s="1140"/>
      <c r="R60" s="1140"/>
      <c r="S60" s="1140"/>
      <c r="T60" s="1140"/>
      <c r="U60" s="1140"/>
    </row>
    <row r="61" spans="1:21" ht="15">
      <c r="A61" s="1140"/>
      <c r="B61" s="1140"/>
      <c r="C61" s="1140"/>
      <c r="D61" s="1140"/>
      <c r="E61" s="1140"/>
      <c r="F61" s="1140"/>
      <c r="G61" s="1140"/>
      <c r="H61" s="1140"/>
      <c r="I61" s="1140"/>
      <c r="J61" s="1140"/>
      <c r="K61" s="1140"/>
      <c r="L61" s="1140"/>
      <c r="M61" s="1140"/>
      <c r="N61" s="1140"/>
      <c r="O61" s="1140"/>
      <c r="P61" s="1140"/>
      <c r="Q61" s="1140"/>
      <c r="R61" s="1140"/>
      <c r="S61" s="1140"/>
      <c r="T61" s="1140"/>
      <c r="U61" s="1140"/>
    </row>
    <row r="62" spans="1:21" ht="15">
      <c r="A62" s="1140"/>
      <c r="B62" s="1140"/>
      <c r="C62" s="1140"/>
      <c r="D62" s="1140"/>
      <c r="E62" s="1140"/>
      <c r="F62" s="1140"/>
      <c r="G62" s="1140"/>
      <c r="H62" s="1140"/>
      <c r="I62" s="1140"/>
      <c r="J62" s="1140"/>
      <c r="K62" s="1140"/>
      <c r="L62" s="1140"/>
      <c r="M62" s="1140"/>
      <c r="N62" s="1140"/>
      <c r="O62" s="1140"/>
      <c r="P62" s="1140"/>
      <c r="Q62" s="1140"/>
      <c r="R62" s="1140"/>
      <c r="S62" s="1140"/>
      <c r="T62" s="1140"/>
      <c r="U62" s="1140"/>
    </row>
    <row r="63" spans="1:21" ht="15">
      <c r="A63" s="1140"/>
      <c r="B63" s="1140"/>
      <c r="C63" s="1140"/>
      <c r="D63" s="1140"/>
      <c r="E63" s="1140"/>
      <c r="F63" s="1140"/>
      <c r="G63" s="1140"/>
      <c r="H63" s="1140"/>
      <c r="I63" s="1140"/>
      <c r="J63" s="1140"/>
      <c r="K63" s="1140"/>
      <c r="L63" s="1140"/>
      <c r="M63" s="1140"/>
      <c r="N63" s="1140"/>
      <c r="O63" s="1140"/>
      <c r="P63" s="1140"/>
      <c r="Q63" s="1140"/>
      <c r="R63" s="1140"/>
      <c r="S63" s="1140"/>
      <c r="T63" s="1140"/>
      <c r="U63" s="1140"/>
    </row>
    <row r="64" spans="1:21" ht="15">
      <c r="A64" s="1140"/>
      <c r="B64" s="1140"/>
      <c r="C64" s="1140"/>
      <c r="D64" s="1140"/>
      <c r="E64" s="1140"/>
      <c r="F64" s="1140"/>
      <c r="G64" s="1140"/>
      <c r="H64" s="1140"/>
      <c r="I64" s="1140"/>
      <c r="J64" s="1140"/>
      <c r="K64" s="1140"/>
      <c r="L64" s="1140"/>
      <c r="M64" s="1140"/>
      <c r="N64" s="1140"/>
      <c r="O64" s="1140"/>
      <c r="P64" s="1140"/>
      <c r="Q64" s="1140"/>
      <c r="R64" s="1140"/>
      <c r="S64" s="1140"/>
      <c r="T64" s="1140"/>
      <c r="U64" s="1140"/>
    </row>
  </sheetData>
  <mergeCells count="16">
    <mergeCell ref="A43:S46"/>
    <mergeCell ref="F35:G35"/>
    <mergeCell ref="F36:G36"/>
    <mergeCell ref="F38:G38"/>
    <mergeCell ref="F39:G39"/>
    <mergeCell ref="F40:G40"/>
    <mergeCell ref="F41:G41"/>
    <mergeCell ref="F37:G37"/>
    <mergeCell ref="F32:G32"/>
    <mergeCell ref="F33:G33"/>
    <mergeCell ref="F34:G34"/>
    <mergeCell ref="F2:R2"/>
    <mergeCell ref="A4:D4"/>
    <mergeCell ref="A7:D7"/>
    <mergeCell ref="A10:A17"/>
    <mergeCell ref="F31:G31"/>
  </mergeCells>
  <phoneticPr fontId="5"/>
  <pageMargins left="0.51181102362204722" right="0.51181102362204722" top="0.74803149606299213" bottom="0.74803149606299213" header="0.31496062992125984" footer="0.31496062992125984"/>
  <pageSetup paperSize="8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32558C-1405-478C-A5DB-57DFEF395EB7}">
  <dimension ref="A1:AC68"/>
  <sheetViews>
    <sheetView view="pageBreakPreview" topLeftCell="A55" zoomScaleNormal="100" zoomScaleSheetLayoutView="100" workbookViewId="0">
      <pane xSplit="7" topLeftCell="H1" activePane="topRight" state="frozen"/>
      <selection activeCell="S29" sqref="S29"/>
      <selection pane="topRight" activeCell="L72" sqref="L72"/>
    </sheetView>
  </sheetViews>
  <sheetFormatPr defaultRowHeight="11.25"/>
  <cols>
    <col min="1" max="1" width="2.75" style="1" customWidth="1"/>
    <col min="2" max="3" width="6.625" style="1" customWidth="1"/>
    <col min="4" max="4" width="9.875" style="1" customWidth="1"/>
    <col min="5" max="5" width="13.875" style="1" customWidth="1"/>
    <col min="6" max="6" width="10.875" style="1" customWidth="1"/>
    <col min="7" max="7" width="6.375" style="1" bestFit="1" customWidth="1"/>
    <col min="8" max="19" width="11" style="1" customWidth="1"/>
    <col min="20" max="21" width="12.125" style="1" customWidth="1"/>
    <col min="22" max="29" width="7.875" style="1" customWidth="1"/>
    <col min="30" max="30" width="5.625" style="1" customWidth="1"/>
    <col min="31" max="16384" width="9" style="1"/>
  </cols>
  <sheetData>
    <row r="1" spans="1:29" ht="29.25" customHeight="1" thickBot="1">
      <c r="A1" s="2" t="s">
        <v>108</v>
      </c>
      <c r="B1" s="1140"/>
      <c r="C1" s="1140"/>
      <c r="D1" s="1140"/>
      <c r="E1" s="1140"/>
      <c r="F1" s="1140"/>
      <c r="G1" s="1140"/>
      <c r="H1" s="1140"/>
      <c r="I1" s="1140"/>
      <c r="J1" s="1140"/>
      <c r="K1" s="1140"/>
      <c r="L1" s="1140"/>
      <c r="M1" s="1140"/>
      <c r="N1" s="1140"/>
      <c r="O1" s="1140"/>
      <c r="P1" s="1140"/>
      <c r="Q1" s="1140"/>
      <c r="R1" s="1140"/>
      <c r="S1" s="1140"/>
      <c r="T1" s="1140"/>
      <c r="U1" s="1140"/>
      <c r="V1" s="1140"/>
      <c r="W1" s="1140"/>
      <c r="X1" s="1140"/>
      <c r="Y1" s="1140"/>
      <c r="Z1" s="1140"/>
      <c r="AA1" s="1140"/>
      <c r="AB1" s="1140"/>
      <c r="AC1" s="1140"/>
    </row>
    <row r="2" spans="1:29" ht="16.5" customHeight="1">
      <c r="A2" s="10"/>
      <c r="B2" s="11"/>
      <c r="C2" s="11"/>
      <c r="D2" s="11"/>
      <c r="E2" s="11"/>
      <c r="F2" s="11"/>
      <c r="G2" s="11"/>
      <c r="H2" s="1284" t="s">
        <v>74</v>
      </c>
      <c r="I2" s="1285"/>
      <c r="J2" s="1285"/>
      <c r="K2" s="1285"/>
      <c r="L2" s="1285"/>
      <c r="M2" s="1285"/>
      <c r="N2" s="1285"/>
      <c r="O2" s="1285"/>
      <c r="P2" s="1285"/>
      <c r="Q2" s="1285"/>
      <c r="R2" s="1285"/>
      <c r="S2" s="1285"/>
      <c r="T2" s="1311"/>
      <c r="U2" s="1136" t="s">
        <v>54</v>
      </c>
      <c r="V2" s="1339"/>
      <c r="W2" s="1330"/>
      <c r="X2" s="1330"/>
      <c r="Y2" s="1330"/>
      <c r="Z2" s="1330"/>
      <c r="AA2" s="1330"/>
      <c r="AB2" s="1330"/>
      <c r="AC2" s="1330"/>
    </row>
    <row r="3" spans="1:29" ht="15.75" thickBot="1">
      <c r="A3" s="19"/>
      <c r="B3" s="20"/>
      <c r="C3" s="20"/>
      <c r="D3" s="20"/>
      <c r="E3" s="20"/>
      <c r="F3" s="20"/>
      <c r="G3" s="20"/>
      <c r="H3" s="1006" t="s">
        <v>95</v>
      </c>
      <c r="I3" s="25" t="s">
        <v>96</v>
      </c>
      <c r="J3" s="25" t="s">
        <v>97</v>
      </c>
      <c r="K3" s="25" t="s">
        <v>98</v>
      </c>
      <c r="L3" s="25" t="s">
        <v>99</v>
      </c>
      <c r="M3" s="25" t="s">
        <v>100</v>
      </c>
      <c r="N3" s="25" t="s">
        <v>101</v>
      </c>
      <c r="O3" s="25" t="s">
        <v>102</v>
      </c>
      <c r="P3" s="25" t="s">
        <v>103</v>
      </c>
      <c r="Q3" s="25" t="s">
        <v>104</v>
      </c>
      <c r="R3" s="25" t="s">
        <v>105</v>
      </c>
      <c r="S3" s="27" t="s">
        <v>106</v>
      </c>
      <c r="T3" s="27" t="s">
        <v>107</v>
      </c>
      <c r="U3" s="27" t="s">
        <v>107</v>
      </c>
      <c r="V3" s="493"/>
      <c r="W3" s="94"/>
      <c r="X3" s="94"/>
      <c r="Y3" s="94"/>
      <c r="Z3" s="92"/>
      <c r="AA3" s="94"/>
      <c r="AB3" s="94"/>
      <c r="AC3" s="94"/>
    </row>
    <row r="4" spans="1:29" ht="15.75" thickTop="1">
      <c r="A4" s="39" t="s">
        <v>20</v>
      </c>
      <c r="B4" s="36"/>
      <c r="C4" s="36"/>
      <c r="D4" s="53" t="s">
        <v>16</v>
      </c>
      <c r="E4" s="54"/>
      <c r="F4" s="54"/>
      <c r="G4" s="55" t="s">
        <v>41</v>
      </c>
      <c r="H4" s="1080">
        <f>SUM(H5:H8)</f>
        <v>55623696</v>
      </c>
      <c r="I4" s="1081">
        <f t="shared" ref="I4:S4" si="0">SUM(I5:I8)</f>
        <v>55404816</v>
      </c>
      <c r="J4" s="1081">
        <f t="shared" si="0"/>
        <v>59598271</v>
      </c>
      <c r="K4" s="1082">
        <f t="shared" si="0"/>
        <v>54440941</v>
      </c>
      <c r="L4" s="1082">
        <f>SUM(L5:L8)</f>
        <v>58974374</v>
      </c>
      <c r="M4" s="1082">
        <f>SUM(M5:M8)</f>
        <v>58781639</v>
      </c>
      <c r="N4" s="1081">
        <f t="shared" si="0"/>
        <v>55978813</v>
      </c>
      <c r="O4" s="1081">
        <f t="shared" si="0"/>
        <v>59908342</v>
      </c>
      <c r="P4" s="1081">
        <f t="shared" si="0"/>
        <v>59724490</v>
      </c>
      <c r="Q4" s="1082">
        <f t="shared" si="0"/>
        <v>61461631</v>
      </c>
      <c r="R4" s="1082">
        <f t="shared" si="0"/>
        <v>60011168</v>
      </c>
      <c r="S4" s="1083">
        <f t="shared" si="0"/>
        <v>53488920</v>
      </c>
      <c r="T4" s="1092">
        <f t="shared" ref="T4:T33" si="1">SUM(H4:S4)</f>
        <v>693397101</v>
      </c>
      <c r="U4" s="1041">
        <f>SUM(U5:U8)</f>
        <v>653160000</v>
      </c>
      <c r="V4" s="494"/>
      <c r="W4" s="495"/>
      <c r="X4" s="496"/>
      <c r="Y4" s="497"/>
      <c r="Z4" s="498"/>
      <c r="AA4" s="499"/>
      <c r="AB4" s="500"/>
      <c r="AC4" s="501"/>
    </row>
    <row r="5" spans="1:29" ht="15">
      <c r="A5" s="14"/>
      <c r="B5" s="38"/>
      <c r="C5" s="38"/>
      <c r="D5" s="4" t="s">
        <v>21</v>
      </c>
      <c r="E5" s="47"/>
      <c r="F5" s="47"/>
      <c r="G5" s="48" t="s">
        <v>35</v>
      </c>
      <c r="H5" s="1014">
        <v>25409547</v>
      </c>
      <c r="I5" s="1015">
        <v>25179858</v>
      </c>
      <c r="J5" s="1015">
        <v>25879518</v>
      </c>
      <c r="K5" s="1016">
        <v>23590998</v>
      </c>
      <c r="L5" s="1016">
        <v>26273439</v>
      </c>
      <c r="M5" s="1016">
        <v>24983406</v>
      </c>
      <c r="N5" s="1015">
        <v>24783354</v>
      </c>
      <c r="O5" s="1015">
        <v>26452998</v>
      </c>
      <c r="P5" s="1015">
        <v>26263926</v>
      </c>
      <c r="Q5" s="1016">
        <v>26940222</v>
      </c>
      <c r="R5" s="1016">
        <v>26625393</v>
      </c>
      <c r="S5" s="1017">
        <v>23907645</v>
      </c>
      <c r="T5" s="1017">
        <f t="shared" si="1"/>
        <v>306290304</v>
      </c>
      <c r="U5" s="1017">
        <v>362503000</v>
      </c>
      <c r="V5" s="502"/>
      <c r="W5" s="503"/>
      <c r="X5" s="504"/>
      <c r="Y5" s="505"/>
      <c r="Z5" s="506"/>
      <c r="AA5" s="507"/>
      <c r="AB5" s="508"/>
      <c r="AC5" s="509"/>
    </row>
    <row r="6" spans="1:29" ht="15">
      <c r="A6" s="14"/>
      <c r="B6" s="38"/>
      <c r="C6" s="38"/>
      <c r="D6" s="4" t="s">
        <v>32</v>
      </c>
      <c r="E6" s="5"/>
      <c r="F6" s="5"/>
      <c r="G6" s="13" t="s">
        <v>35</v>
      </c>
      <c r="H6" s="1014">
        <v>15307335</v>
      </c>
      <c r="I6" s="1015">
        <v>15593265</v>
      </c>
      <c r="J6" s="1015">
        <v>16844976</v>
      </c>
      <c r="K6" s="1016">
        <v>15754545</v>
      </c>
      <c r="L6" s="1016">
        <v>15654519</v>
      </c>
      <c r="M6" s="1016">
        <v>14776947</v>
      </c>
      <c r="N6" s="1015">
        <v>14617127</v>
      </c>
      <c r="O6" s="1015">
        <v>15970760</v>
      </c>
      <c r="P6" s="1015">
        <v>16143308</v>
      </c>
      <c r="Q6" s="1016">
        <v>15824130</v>
      </c>
      <c r="R6" s="1016">
        <v>15539433</v>
      </c>
      <c r="S6" s="1017">
        <v>13064172</v>
      </c>
      <c r="T6" s="1017">
        <f t="shared" si="1"/>
        <v>185090517</v>
      </c>
      <c r="U6" s="1017">
        <v>154371000</v>
      </c>
      <c r="V6" s="510"/>
      <c r="W6" s="511"/>
      <c r="X6" s="512"/>
      <c r="Y6" s="513"/>
      <c r="Z6" s="514"/>
      <c r="AA6" s="515"/>
      <c r="AB6" s="516"/>
      <c r="AC6" s="517"/>
    </row>
    <row r="7" spans="1:29" ht="15">
      <c r="A7" s="14"/>
      <c r="B7" s="38"/>
      <c r="C7" s="38"/>
      <c r="D7" s="4" t="s">
        <v>22</v>
      </c>
      <c r="E7" s="5"/>
      <c r="F7" s="5"/>
      <c r="G7" s="13" t="s">
        <v>35</v>
      </c>
      <c r="H7" s="1014">
        <v>11436646</v>
      </c>
      <c r="I7" s="1015">
        <v>11179604</v>
      </c>
      <c r="J7" s="1015">
        <v>12890400</v>
      </c>
      <c r="K7" s="1016">
        <v>11435339</v>
      </c>
      <c r="L7" s="1016">
        <v>12816987</v>
      </c>
      <c r="M7" s="1016">
        <v>14642304</v>
      </c>
      <c r="N7" s="1015">
        <v>12265508</v>
      </c>
      <c r="O7" s="1015">
        <v>14014644</v>
      </c>
      <c r="P7" s="1015">
        <v>14017610</v>
      </c>
      <c r="Q7" s="1016">
        <v>15213813</v>
      </c>
      <c r="R7" s="1016">
        <v>14299989</v>
      </c>
      <c r="S7" s="1017">
        <v>13212042</v>
      </c>
      <c r="T7" s="1017">
        <f t="shared" si="1"/>
        <v>157424886</v>
      </c>
      <c r="U7" s="1017">
        <v>121431000</v>
      </c>
      <c r="V7" s="518"/>
      <c r="W7" s="519"/>
      <c r="X7" s="520"/>
      <c r="Y7" s="521"/>
      <c r="Z7" s="522"/>
      <c r="AA7" s="523"/>
      <c r="AB7" s="524"/>
      <c r="AC7" s="525"/>
    </row>
    <row r="8" spans="1:29" ht="15">
      <c r="A8" s="14"/>
      <c r="B8" s="38"/>
      <c r="C8" s="38"/>
      <c r="D8" s="49" t="s">
        <v>23</v>
      </c>
      <c r="E8" s="36"/>
      <c r="F8" s="36"/>
      <c r="G8" s="50" t="s">
        <v>35</v>
      </c>
      <c r="H8" s="1042">
        <f>3291906+178262</f>
        <v>3470168</v>
      </c>
      <c r="I8" s="1043">
        <f>24080+3428009</f>
        <v>3452089</v>
      </c>
      <c r="J8" s="1043">
        <f>3759584+223793</f>
        <v>3983377</v>
      </c>
      <c r="K8" s="1044">
        <f>3433341+226718</f>
        <v>3660059</v>
      </c>
      <c r="L8" s="1044">
        <f>4015509+213920</f>
        <v>4229429</v>
      </c>
      <c r="M8" s="1044">
        <f>257210+4121772</f>
        <v>4378982</v>
      </c>
      <c r="N8" s="1043">
        <f>4087874+224950</f>
        <v>4312824</v>
      </c>
      <c r="O8" s="1043">
        <f>3254077+215863</f>
        <v>3469940</v>
      </c>
      <c r="P8" s="1043">
        <f>3074243+225403</f>
        <v>3299646</v>
      </c>
      <c r="Q8" s="1044">
        <f>3166801+316665</f>
        <v>3483466</v>
      </c>
      <c r="R8" s="1044">
        <f>3246031+300322</f>
        <v>3546353</v>
      </c>
      <c r="S8" s="1045">
        <f>3002737+302324</f>
        <v>3305061</v>
      </c>
      <c r="T8" s="1045">
        <f t="shared" si="1"/>
        <v>44591394</v>
      </c>
      <c r="U8" s="1045">
        <v>14855000</v>
      </c>
      <c r="V8" s="526"/>
      <c r="W8" s="527"/>
      <c r="X8" s="528"/>
      <c r="Y8" s="529"/>
      <c r="Z8" s="530"/>
      <c r="AA8" s="531"/>
      <c r="AB8" s="532"/>
      <c r="AC8" s="533"/>
    </row>
    <row r="9" spans="1:29" ht="15">
      <c r="A9" s="39" t="s">
        <v>2</v>
      </c>
      <c r="B9" s="36"/>
      <c r="C9" s="36"/>
      <c r="D9" s="53" t="s">
        <v>16</v>
      </c>
      <c r="E9" s="54"/>
      <c r="F9" s="54"/>
      <c r="G9" s="56" t="s">
        <v>35</v>
      </c>
      <c r="H9" s="1038">
        <f>SUM(H10:H12)</f>
        <v>13612842</v>
      </c>
      <c r="I9" s="1039">
        <f t="shared" ref="I9:S9" si="2">SUM(I10:I12)</f>
        <v>12939021</v>
      </c>
      <c r="J9" s="1039">
        <f t="shared" si="2"/>
        <v>15088032</v>
      </c>
      <c r="K9" s="1040">
        <f t="shared" si="2"/>
        <v>13796415</v>
      </c>
      <c r="L9" s="1040">
        <f>SUM(L10:L12)</f>
        <v>14308236</v>
      </c>
      <c r="M9" s="1040">
        <f>SUM(M10:M12)</f>
        <v>13777956</v>
      </c>
      <c r="N9" s="1039">
        <f t="shared" si="2"/>
        <v>13031442</v>
      </c>
      <c r="O9" s="1039">
        <f t="shared" si="2"/>
        <v>13580937</v>
      </c>
      <c r="P9" s="1039">
        <f t="shared" si="2"/>
        <v>13399056</v>
      </c>
      <c r="Q9" s="1040">
        <f t="shared" si="2"/>
        <v>13508136</v>
      </c>
      <c r="R9" s="1040">
        <f t="shared" si="2"/>
        <v>14062239</v>
      </c>
      <c r="S9" s="1041">
        <f t="shared" si="2"/>
        <v>12633345</v>
      </c>
      <c r="T9" s="1128">
        <f t="shared" si="1"/>
        <v>163737657</v>
      </c>
      <c r="U9" s="1041">
        <f>SUM(U10:U12)</f>
        <v>171570000</v>
      </c>
      <c r="V9" s="534"/>
      <c r="W9" s="535"/>
      <c r="X9" s="536"/>
      <c r="Y9" s="537"/>
      <c r="Z9" s="538"/>
      <c r="AA9" s="539"/>
      <c r="AB9" s="540"/>
      <c r="AC9" s="541"/>
    </row>
    <row r="10" spans="1:29" ht="15">
      <c r="A10" s="14"/>
      <c r="B10" s="38"/>
      <c r="C10" s="38"/>
      <c r="D10" s="4" t="s">
        <v>17</v>
      </c>
      <c r="E10" s="5"/>
      <c r="F10" s="5"/>
      <c r="G10" s="13" t="s">
        <v>35</v>
      </c>
      <c r="H10" s="1014">
        <v>477216</v>
      </c>
      <c r="I10" s="1015">
        <v>384111</v>
      </c>
      <c r="J10" s="1015">
        <v>250128</v>
      </c>
      <c r="K10" s="1016">
        <v>242091</v>
      </c>
      <c r="L10" s="1016">
        <v>250128</v>
      </c>
      <c r="M10" s="1016">
        <v>250128</v>
      </c>
      <c r="N10" s="1015">
        <v>242091</v>
      </c>
      <c r="O10" s="1015">
        <v>250128</v>
      </c>
      <c r="P10" s="1015">
        <v>242091</v>
      </c>
      <c r="Q10" s="1016">
        <v>250128</v>
      </c>
      <c r="R10" s="1016">
        <v>250128</v>
      </c>
      <c r="S10" s="1017">
        <v>225999</v>
      </c>
      <c r="T10" s="1017">
        <f t="shared" si="1"/>
        <v>3314367</v>
      </c>
      <c r="U10" s="1017">
        <v>13201000</v>
      </c>
      <c r="V10" s="542"/>
      <c r="W10" s="543"/>
      <c r="X10" s="544"/>
      <c r="Y10" s="545"/>
      <c r="Z10" s="546"/>
      <c r="AA10" s="547"/>
      <c r="AB10" s="548"/>
      <c r="AC10" s="549"/>
    </row>
    <row r="11" spans="1:29" ht="15">
      <c r="A11" s="14"/>
      <c r="B11" s="38"/>
      <c r="C11" s="38"/>
      <c r="D11" s="4" t="s">
        <v>19</v>
      </c>
      <c r="E11" s="5"/>
      <c r="F11" s="5"/>
      <c r="G11" s="13" t="s">
        <v>35</v>
      </c>
      <c r="H11" s="1014"/>
      <c r="I11" s="1015"/>
      <c r="J11" s="1015"/>
      <c r="K11" s="1016"/>
      <c r="L11" s="1016"/>
      <c r="M11" s="1016"/>
      <c r="N11" s="1015"/>
      <c r="O11" s="1015"/>
      <c r="P11" s="1015"/>
      <c r="Q11" s="1016"/>
      <c r="R11" s="1016"/>
      <c r="S11" s="1017"/>
      <c r="T11" s="1017">
        <f t="shared" si="1"/>
        <v>0</v>
      </c>
      <c r="U11" s="1017">
        <v>0</v>
      </c>
      <c r="V11" s="550"/>
      <c r="W11" s="551"/>
      <c r="X11" s="552"/>
      <c r="Y11" s="553"/>
      <c r="Z11" s="554"/>
      <c r="AA11" s="555"/>
      <c r="AB11" s="556"/>
      <c r="AC11" s="557"/>
    </row>
    <row r="12" spans="1:29" ht="15">
      <c r="A12" s="15"/>
      <c r="B12" s="37"/>
      <c r="C12" s="37"/>
      <c r="D12" s="4" t="s">
        <v>18</v>
      </c>
      <c r="E12" s="5"/>
      <c r="F12" s="5"/>
      <c r="G12" s="13" t="s">
        <v>35</v>
      </c>
      <c r="H12" s="1042">
        <v>13135626</v>
      </c>
      <c r="I12" s="1043">
        <v>12554910</v>
      </c>
      <c r="J12" s="1043">
        <v>14837904</v>
      </c>
      <c r="K12" s="1044">
        <v>13554324</v>
      </c>
      <c r="L12" s="1044">
        <v>14058108</v>
      </c>
      <c r="M12" s="1044">
        <v>13527828</v>
      </c>
      <c r="N12" s="1043">
        <v>12789351</v>
      </c>
      <c r="O12" s="1043">
        <v>13330809</v>
      </c>
      <c r="P12" s="1043">
        <v>13156965</v>
      </c>
      <c r="Q12" s="1044">
        <v>13258008</v>
      </c>
      <c r="R12" s="1044">
        <v>13812111</v>
      </c>
      <c r="S12" s="1045">
        <v>12407346</v>
      </c>
      <c r="T12" s="1045">
        <f t="shared" si="1"/>
        <v>160423290</v>
      </c>
      <c r="U12" s="1045">
        <v>158369000</v>
      </c>
      <c r="V12" s="558"/>
      <c r="W12" s="559"/>
      <c r="X12" s="560"/>
      <c r="Y12" s="561"/>
      <c r="Z12" s="562"/>
      <c r="AA12" s="563"/>
      <c r="AB12" s="564"/>
      <c r="AC12" s="565"/>
    </row>
    <row r="13" spans="1:29" ht="15">
      <c r="A13" s="39" t="s">
        <v>1</v>
      </c>
      <c r="B13" s="36"/>
      <c r="C13" s="36"/>
      <c r="D13" s="53" t="s">
        <v>16</v>
      </c>
      <c r="E13" s="54"/>
      <c r="F13" s="54"/>
      <c r="G13" s="56" t="s">
        <v>35</v>
      </c>
      <c r="H13" s="1038">
        <f>SUM(H14:H33)</f>
        <v>84678783</v>
      </c>
      <c r="I13" s="1039">
        <f t="shared" ref="I13:S13" si="3">SUM(I14:I33)</f>
        <v>83735636</v>
      </c>
      <c r="J13" s="1039">
        <f t="shared" si="3"/>
        <v>87123018</v>
      </c>
      <c r="K13" s="1040">
        <f t="shared" si="3"/>
        <v>86196629</v>
      </c>
      <c r="L13" s="1040">
        <f>SUM(L14:L33)</f>
        <v>88413068</v>
      </c>
      <c r="M13" s="1040">
        <f>SUM(M14:M33)</f>
        <v>85861390</v>
      </c>
      <c r="N13" s="1039">
        <f t="shared" si="3"/>
        <v>86366872</v>
      </c>
      <c r="O13" s="1039">
        <f t="shared" si="3"/>
        <v>86360463</v>
      </c>
      <c r="P13" s="1039">
        <f t="shared" si="3"/>
        <v>84051932</v>
      </c>
      <c r="Q13" s="1040">
        <f t="shared" si="3"/>
        <v>83666842</v>
      </c>
      <c r="R13" s="1040">
        <f t="shared" si="3"/>
        <v>78346063</v>
      </c>
      <c r="S13" s="1041">
        <f t="shared" si="3"/>
        <v>75817710</v>
      </c>
      <c r="T13" s="1128">
        <f t="shared" si="1"/>
        <v>1010618406</v>
      </c>
      <c r="U13" s="1047">
        <f>SUM(U14:U33)</f>
        <v>1137688000</v>
      </c>
      <c r="V13" s="566"/>
      <c r="W13" s="567"/>
      <c r="X13" s="568"/>
      <c r="Y13" s="569"/>
      <c r="Z13" s="570"/>
      <c r="AA13" s="571"/>
      <c r="AB13" s="572"/>
      <c r="AC13" s="573"/>
    </row>
    <row r="14" spans="1:29" ht="15">
      <c r="A14" s="14"/>
      <c r="B14" s="38"/>
      <c r="C14" s="38"/>
      <c r="D14" s="4" t="s">
        <v>25</v>
      </c>
      <c r="E14" s="5"/>
      <c r="F14" s="5"/>
      <c r="G14" s="13" t="s">
        <v>35</v>
      </c>
      <c r="H14" s="1014">
        <v>18844059</v>
      </c>
      <c r="I14" s="1015">
        <v>18905035</v>
      </c>
      <c r="J14" s="1015">
        <v>19525523</v>
      </c>
      <c r="K14" s="1016">
        <v>19137517</v>
      </c>
      <c r="L14" s="1016">
        <v>20523772</v>
      </c>
      <c r="M14" s="1126">
        <v>20557535</v>
      </c>
      <c r="N14" s="1015">
        <v>20489822</v>
      </c>
      <c r="O14" s="1015">
        <v>20427742</v>
      </c>
      <c r="P14" s="1015">
        <v>20852628</v>
      </c>
      <c r="Q14" s="1016">
        <v>20939522</v>
      </c>
      <c r="R14" s="1016">
        <v>20506181</v>
      </c>
      <c r="S14" s="1017">
        <v>18342163</v>
      </c>
      <c r="T14" s="1017">
        <f t="shared" si="1"/>
        <v>239051499</v>
      </c>
      <c r="U14" s="1017">
        <v>283583000</v>
      </c>
      <c r="V14" s="574"/>
      <c r="W14" s="575"/>
      <c r="X14" s="576"/>
      <c r="Y14" s="577"/>
      <c r="Z14" s="578"/>
      <c r="AA14" s="579"/>
      <c r="AB14" s="580"/>
      <c r="AC14" s="581"/>
    </row>
    <row r="15" spans="1:29" ht="15">
      <c r="A15" s="14"/>
      <c r="B15" s="38"/>
      <c r="C15" s="38"/>
      <c r="D15" s="4" t="s">
        <v>26</v>
      </c>
      <c r="E15" s="5"/>
      <c r="F15" s="5"/>
      <c r="G15" s="13" t="s">
        <v>35</v>
      </c>
      <c r="H15" s="1014">
        <f>16191+804199</f>
        <v>820390</v>
      </c>
      <c r="I15" s="1015">
        <f>8280+707030</f>
        <v>715310</v>
      </c>
      <c r="J15" s="1015">
        <v>799855</v>
      </c>
      <c r="K15" s="1016">
        <v>832589</v>
      </c>
      <c r="L15" s="1016">
        <v>978407</v>
      </c>
      <c r="M15" s="1126">
        <v>917800</v>
      </c>
      <c r="N15" s="1015">
        <v>820079</v>
      </c>
      <c r="O15" s="1015">
        <v>988018</v>
      </c>
      <c r="P15" s="1015">
        <v>749987</v>
      </c>
      <c r="Q15" s="1016">
        <v>628730</v>
      </c>
      <c r="R15" s="1016">
        <v>603034</v>
      </c>
      <c r="S15" s="1017">
        <v>556514</v>
      </c>
      <c r="T15" s="1017">
        <f t="shared" si="1"/>
        <v>9410713</v>
      </c>
      <c r="U15" s="1017">
        <v>15494000</v>
      </c>
      <c r="V15" s="582"/>
      <c r="W15" s="583"/>
      <c r="X15" s="584"/>
      <c r="Y15" s="585"/>
      <c r="Z15" s="586"/>
      <c r="AA15" s="587"/>
      <c r="AB15" s="588"/>
      <c r="AC15" s="589"/>
    </row>
    <row r="16" spans="1:29" ht="15">
      <c r="A16" s="14"/>
      <c r="B16" s="38"/>
      <c r="C16" s="38"/>
      <c r="D16" s="4" t="s">
        <v>27</v>
      </c>
      <c r="E16" s="5"/>
      <c r="F16" s="5"/>
      <c r="G16" s="13" t="s">
        <v>35</v>
      </c>
      <c r="H16" s="1014">
        <f>95535+3189776</f>
        <v>3285311</v>
      </c>
      <c r="I16" s="1015">
        <f>88794+3041739</f>
        <v>3130533</v>
      </c>
      <c r="J16" s="1015">
        <f>96102+2933073</f>
        <v>3029175</v>
      </c>
      <c r="K16" s="1016">
        <f>82971+2701226</f>
        <v>2784197</v>
      </c>
      <c r="L16" s="1016">
        <f>106551+2960187</f>
        <v>3066738</v>
      </c>
      <c r="M16" s="1016">
        <f>102897+2976756</f>
        <v>3079653</v>
      </c>
      <c r="N16" s="1015">
        <f>73863+3023086</f>
        <v>3096949</v>
      </c>
      <c r="O16" s="1015">
        <f>92502+3127934</f>
        <v>3220436</v>
      </c>
      <c r="P16" s="1015">
        <f>92610+3002352</f>
        <v>3094962</v>
      </c>
      <c r="Q16" s="1016">
        <f>58896+2938561</f>
        <v>2997457</v>
      </c>
      <c r="R16" s="1016">
        <f>22176+2802347</f>
        <v>2824523</v>
      </c>
      <c r="S16" s="1017">
        <f>16632+2473141</f>
        <v>2489773</v>
      </c>
      <c r="T16" s="1017">
        <f t="shared" si="1"/>
        <v>36099707</v>
      </c>
      <c r="U16" s="1017">
        <v>37517000</v>
      </c>
      <c r="V16" s="590"/>
      <c r="W16" s="591"/>
      <c r="X16" s="592"/>
      <c r="Y16" s="593"/>
      <c r="Z16" s="594"/>
      <c r="AA16" s="595"/>
      <c r="AB16" s="596"/>
      <c r="AC16" s="597"/>
    </row>
    <row r="17" spans="1:29" ht="15">
      <c r="A17" s="14"/>
      <c r="B17" s="38"/>
      <c r="C17" s="38"/>
      <c r="D17" s="4" t="s">
        <v>28</v>
      </c>
      <c r="E17" s="5"/>
      <c r="F17" s="5"/>
      <c r="G17" s="13" t="s">
        <v>35</v>
      </c>
      <c r="H17" s="1014">
        <v>97876</v>
      </c>
      <c r="I17" s="1015">
        <v>82269</v>
      </c>
      <c r="J17" s="1015">
        <v>76032</v>
      </c>
      <c r="K17" s="1016">
        <v>65469</v>
      </c>
      <c r="L17" s="1016">
        <v>45601</v>
      </c>
      <c r="M17" s="1016">
        <v>68160</v>
      </c>
      <c r="N17" s="1015">
        <v>68929</v>
      </c>
      <c r="O17" s="1015">
        <v>68160</v>
      </c>
      <c r="P17" s="1015">
        <v>63232</v>
      </c>
      <c r="Q17" s="1016">
        <v>68929</v>
      </c>
      <c r="R17" s="1016">
        <v>65763</v>
      </c>
      <c r="S17" s="1017">
        <v>168170</v>
      </c>
      <c r="T17" s="1017">
        <f t="shared" si="1"/>
        <v>938590</v>
      </c>
      <c r="U17" s="1017">
        <v>942000</v>
      </c>
      <c r="V17" s="598"/>
      <c r="W17" s="599"/>
      <c r="X17" s="600"/>
      <c r="Y17" s="601"/>
      <c r="Z17" s="602"/>
      <c r="AA17" s="603"/>
      <c r="AB17" s="604"/>
      <c r="AC17" s="605"/>
    </row>
    <row r="18" spans="1:29" ht="15">
      <c r="A18" s="14"/>
      <c r="B18" s="38"/>
      <c r="C18" s="38"/>
      <c r="D18" s="4" t="s">
        <v>29</v>
      </c>
      <c r="E18" s="5"/>
      <c r="F18" s="5"/>
      <c r="G18" s="13" t="s">
        <v>35</v>
      </c>
      <c r="H18" s="1014">
        <f>7155+503388</f>
        <v>510543</v>
      </c>
      <c r="I18" s="1015">
        <f>7155+480521</f>
        <v>487676</v>
      </c>
      <c r="J18" s="1015">
        <f>9783+491760</f>
        <v>501543</v>
      </c>
      <c r="K18" s="1016">
        <f>9783+462467</f>
        <v>472250</v>
      </c>
      <c r="L18" s="1016">
        <f>9783+474769</f>
        <v>484552</v>
      </c>
      <c r="M18" s="1016">
        <f>14310+496527</f>
        <v>510837</v>
      </c>
      <c r="N18" s="1015">
        <f>22905+492105</f>
        <v>515010</v>
      </c>
      <c r="O18" s="1015">
        <f>12951+527153</f>
        <v>540104</v>
      </c>
      <c r="P18" s="1015">
        <f>12951+502356</f>
        <v>515307</v>
      </c>
      <c r="Q18" s="1016">
        <f>5346+439968</f>
        <v>445314</v>
      </c>
      <c r="R18" s="1016">
        <f>9414+383635</f>
        <v>393049</v>
      </c>
      <c r="S18" s="1017">
        <f>12501+371811</f>
        <v>384312</v>
      </c>
      <c r="T18" s="1017">
        <f t="shared" si="1"/>
        <v>5760497</v>
      </c>
      <c r="U18" s="1017">
        <f>247000+8443000</f>
        <v>8690000</v>
      </c>
      <c r="V18" s="606"/>
      <c r="W18" s="607"/>
      <c r="X18" s="608"/>
      <c r="Y18" s="609"/>
      <c r="Z18" s="610"/>
      <c r="AA18" s="611"/>
      <c r="AB18" s="612"/>
      <c r="AC18" s="613"/>
    </row>
    <row r="19" spans="1:29" ht="15">
      <c r="A19" s="14"/>
      <c r="B19" s="38"/>
      <c r="C19" s="38"/>
      <c r="D19" s="4" t="s">
        <v>5</v>
      </c>
      <c r="E19" s="5"/>
      <c r="F19" s="5"/>
      <c r="G19" s="13" t="s">
        <v>35</v>
      </c>
      <c r="H19" s="1014">
        <v>29346688</v>
      </c>
      <c r="I19" s="1015">
        <v>28730421</v>
      </c>
      <c r="J19" s="1015">
        <v>29435472</v>
      </c>
      <c r="K19" s="1016">
        <v>28018893</v>
      </c>
      <c r="L19" s="1016">
        <v>29244837</v>
      </c>
      <c r="M19" s="1016">
        <v>27899940</v>
      </c>
      <c r="N19" s="1015">
        <v>28925739</v>
      </c>
      <c r="O19" s="1015">
        <v>28654598</v>
      </c>
      <c r="P19" s="1015">
        <v>28820605</v>
      </c>
      <c r="Q19" s="1016">
        <v>28055708</v>
      </c>
      <c r="R19" s="1016">
        <v>25924781</v>
      </c>
      <c r="S19" s="1017">
        <v>25484204</v>
      </c>
      <c r="T19" s="1017">
        <f t="shared" si="1"/>
        <v>338541886</v>
      </c>
      <c r="U19" s="1017">
        <v>398504000</v>
      </c>
      <c r="V19" s="614"/>
      <c r="W19" s="615"/>
      <c r="X19" s="616"/>
      <c r="Y19" s="617"/>
      <c r="Z19" s="618"/>
      <c r="AA19" s="619"/>
      <c r="AB19" s="620"/>
      <c r="AC19" s="621"/>
    </row>
    <row r="20" spans="1:29" ht="15">
      <c r="A20" s="14"/>
      <c r="B20" s="38"/>
      <c r="C20" s="38"/>
      <c r="D20" s="4" t="s">
        <v>6</v>
      </c>
      <c r="E20" s="5"/>
      <c r="F20" s="5"/>
      <c r="G20" s="13" t="s">
        <v>35</v>
      </c>
      <c r="H20" s="1014">
        <v>381222</v>
      </c>
      <c r="I20" s="1015">
        <v>389268</v>
      </c>
      <c r="J20" s="1015">
        <v>405411</v>
      </c>
      <c r="K20" s="1016">
        <v>414276</v>
      </c>
      <c r="L20" s="1016">
        <v>406995</v>
      </c>
      <c r="M20" s="1016">
        <v>423603</v>
      </c>
      <c r="N20" s="1015">
        <v>414276</v>
      </c>
      <c r="O20" s="1015">
        <v>415860</v>
      </c>
      <c r="P20" s="1015">
        <v>515256</v>
      </c>
      <c r="Q20" s="1016">
        <v>466575</v>
      </c>
      <c r="R20" s="1016">
        <v>488544</v>
      </c>
      <c r="S20" s="1017">
        <v>476637</v>
      </c>
      <c r="T20" s="1017">
        <f t="shared" si="1"/>
        <v>5197923</v>
      </c>
      <c r="U20" s="1017"/>
      <c r="V20" s="622"/>
      <c r="W20" s="623"/>
      <c r="X20" s="624"/>
      <c r="Y20" s="625"/>
      <c r="Z20" s="626"/>
      <c r="AA20" s="627"/>
      <c r="AB20" s="628"/>
      <c r="AC20" s="629"/>
    </row>
    <row r="21" spans="1:29" ht="15">
      <c r="A21" s="14"/>
      <c r="B21" s="38"/>
      <c r="C21" s="38"/>
      <c r="D21" s="4" t="s">
        <v>7</v>
      </c>
      <c r="E21" s="5"/>
      <c r="F21" s="5"/>
      <c r="G21" s="13" t="s">
        <v>35</v>
      </c>
      <c r="H21" s="1014">
        <f>870471+4839178</f>
        <v>5709649</v>
      </c>
      <c r="I21" s="1015">
        <f>799542+4672872</f>
        <v>5472414</v>
      </c>
      <c r="J21" s="1015">
        <f>905319+4694721</f>
        <v>5600040</v>
      </c>
      <c r="K21" s="1016">
        <f>915273+5223538</f>
        <v>6138811</v>
      </c>
      <c r="L21" s="1016">
        <f>976869+5370841</f>
        <v>6347710</v>
      </c>
      <c r="M21" s="1016">
        <f>861696+5581265</f>
        <v>6442961</v>
      </c>
      <c r="N21" s="1015">
        <f>801693+5507880</f>
        <v>6309573</v>
      </c>
      <c r="O21" s="1015">
        <f>925299+6033671</f>
        <v>6958970</v>
      </c>
      <c r="P21" s="1015">
        <f>952110+5603638</f>
        <v>6555748</v>
      </c>
      <c r="Q21" s="1016">
        <f>967014+5512328</f>
        <v>6479342</v>
      </c>
      <c r="R21" s="1016">
        <f>939204+5394988</f>
        <v>6334192</v>
      </c>
      <c r="S21" s="1017">
        <f>917685+5135425</f>
        <v>6053110</v>
      </c>
      <c r="T21" s="1017">
        <f t="shared" si="1"/>
        <v>74402520</v>
      </c>
      <c r="U21" s="1017">
        <f>6532000+40154000</f>
        <v>46686000</v>
      </c>
      <c r="V21" s="630"/>
      <c r="W21" s="631"/>
      <c r="X21" s="632"/>
      <c r="Y21" s="633"/>
      <c r="Z21" s="634"/>
      <c r="AA21" s="635"/>
      <c r="AB21" s="636"/>
      <c r="AC21" s="637"/>
    </row>
    <row r="22" spans="1:29" ht="15">
      <c r="A22" s="14"/>
      <c r="B22" s="38"/>
      <c r="C22" s="38"/>
      <c r="D22" s="4" t="s">
        <v>11</v>
      </c>
      <c r="E22" s="5"/>
      <c r="F22" s="5"/>
      <c r="G22" s="13" t="s">
        <v>35</v>
      </c>
      <c r="H22" s="1014">
        <f>29394+8337375</f>
        <v>8366769</v>
      </c>
      <c r="I22" s="1015">
        <f>56691+8659948</f>
        <v>8716639</v>
      </c>
      <c r="J22" s="1015">
        <f>30060+10569959</f>
        <v>10600019</v>
      </c>
      <c r="K22" s="1016">
        <f>55756+10921020</f>
        <v>10976776</v>
      </c>
      <c r="L22" s="1016">
        <f>81384+9553731</f>
        <v>9635115</v>
      </c>
      <c r="M22" s="1016">
        <f>15030+9121541</f>
        <v>9136571</v>
      </c>
      <c r="N22" s="1015">
        <f>52821+8612174</f>
        <v>8664995</v>
      </c>
      <c r="O22" s="1015">
        <f>78543+8417872</f>
        <v>8496415</v>
      </c>
      <c r="P22" s="1015">
        <f>104754+6719428</f>
        <v>6824182</v>
      </c>
      <c r="Q22" s="1016">
        <f>15030+7159141</f>
        <v>7174171</v>
      </c>
      <c r="R22" s="1016">
        <f>51579+5977441</f>
        <v>6029020</v>
      </c>
      <c r="S22" s="1017">
        <f>42165+6416128</f>
        <v>6458293</v>
      </c>
      <c r="T22" s="1017">
        <f t="shared" si="1"/>
        <v>101078965</v>
      </c>
      <c r="U22" s="1017">
        <f>2136000+104894000</f>
        <v>107030000</v>
      </c>
      <c r="V22" s="638"/>
      <c r="W22" s="639"/>
      <c r="X22" s="640"/>
      <c r="Y22" s="641"/>
      <c r="Z22" s="642"/>
      <c r="AA22" s="643"/>
      <c r="AB22" s="644"/>
      <c r="AC22" s="645"/>
    </row>
    <row r="23" spans="1:29" ht="15">
      <c r="A23" s="14"/>
      <c r="B23" s="38"/>
      <c r="C23" s="38"/>
      <c r="D23" s="4" t="s">
        <v>12</v>
      </c>
      <c r="E23" s="5"/>
      <c r="F23" s="5"/>
      <c r="G23" s="13" t="s">
        <v>35</v>
      </c>
      <c r="H23" s="1014">
        <v>456408</v>
      </c>
      <c r="I23" s="1015">
        <v>536463</v>
      </c>
      <c r="J23" s="1015">
        <v>749924</v>
      </c>
      <c r="K23" s="1016">
        <v>905373</v>
      </c>
      <c r="L23" s="1016">
        <v>891306</v>
      </c>
      <c r="M23" s="1016">
        <v>389574</v>
      </c>
      <c r="N23" s="1015">
        <v>684499</v>
      </c>
      <c r="O23" s="1015">
        <v>639567</v>
      </c>
      <c r="P23" s="1015">
        <v>446526</v>
      </c>
      <c r="Q23" s="1016">
        <v>524691</v>
      </c>
      <c r="R23" s="1016">
        <v>347949</v>
      </c>
      <c r="S23" s="1017">
        <v>304866</v>
      </c>
      <c r="T23" s="1017">
        <f t="shared" si="1"/>
        <v>6877146</v>
      </c>
      <c r="U23" s="1017">
        <v>4213000</v>
      </c>
      <c r="V23" s="646"/>
      <c r="W23" s="647"/>
      <c r="X23" s="648"/>
      <c r="Y23" s="649"/>
      <c r="Z23" s="650"/>
      <c r="AA23" s="651"/>
      <c r="AB23" s="652"/>
      <c r="AC23" s="653"/>
    </row>
    <row r="24" spans="1:29" ht="15">
      <c r="A24" s="14"/>
      <c r="B24" s="38"/>
      <c r="C24" s="38"/>
      <c r="D24" s="4" t="s">
        <v>13</v>
      </c>
      <c r="E24" s="5"/>
      <c r="F24" s="5"/>
      <c r="G24" s="13" t="s">
        <v>35</v>
      </c>
      <c r="H24" s="1016">
        <v>0</v>
      </c>
      <c r="I24" s="1016">
        <v>0</v>
      </c>
      <c r="J24" s="1016"/>
      <c r="K24" s="1016"/>
      <c r="L24" s="1016"/>
      <c r="M24" s="1016"/>
      <c r="N24" s="1016"/>
      <c r="O24" s="1016"/>
      <c r="P24" s="1016"/>
      <c r="Q24" s="1016"/>
      <c r="R24" s="1016"/>
      <c r="S24" s="1017"/>
      <c r="T24" s="1017">
        <f t="shared" si="1"/>
        <v>0</v>
      </c>
      <c r="U24" s="1017"/>
      <c r="V24" s="654"/>
      <c r="W24" s="655"/>
      <c r="X24" s="656"/>
      <c r="Y24" s="657"/>
      <c r="Z24" s="658"/>
      <c r="AA24" s="659"/>
      <c r="AB24" s="660"/>
      <c r="AC24" s="661"/>
    </row>
    <row r="25" spans="1:29" ht="15">
      <c r="A25" s="14"/>
      <c r="B25" s="38"/>
      <c r="C25" s="38"/>
      <c r="D25" s="4" t="s">
        <v>14</v>
      </c>
      <c r="E25" s="5"/>
      <c r="F25" s="5"/>
      <c r="G25" s="13" t="s">
        <v>35</v>
      </c>
      <c r="H25" s="1014">
        <f>243198+3560379</f>
        <v>3803577</v>
      </c>
      <c r="I25" s="1015">
        <f>264182+3540585</f>
        <v>3804767</v>
      </c>
      <c r="J25" s="1015">
        <f>306596+3422607</f>
        <v>3729203</v>
      </c>
      <c r="K25" s="1016">
        <f>261398+3553557</f>
        <v>3814955</v>
      </c>
      <c r="L25" s="1016">
        <f>250862+3508581</f>
        <v>3759443</v>
      </c>
      <c r="M25" s="1016">
        <f>233078+3662915</f>
        <v>3895993</v>
      </c>
      <c r="N25" s="1015">
        <f>213354+3655879</f>
        <v>3869233</v>
      </c>
      <c r="O25" s="1015">
        <f>236979+3659407</f>
        <v>3896386</v>
      </c>
      <c r="P25" s="1015">
        <f>254844+3660028</f>
        <v>3914872</v>
      </c>
      <c r="Q25" s="1016">
        <f>239868+3563781</f>
        <v>3803649</v>
      </c>
      <c r="R25" s="1016">
        <f>237663+3511231</f>
        <v>3748894</v>
      </c>
      <c r="S25" s="1017">
        <f>235305+3480354</f>
        <v>3715659</v>
      </c>
      <c r="T25" s="1017">
        <f t="shared" si="1"/>
        <v>45756631</v>
      </c>
      <c r="U25" s="1017">
        <f>2863000+37395000</f>
        <v>40258000</v>
      </c>
      <c r="V25" s="662"/>
      <c r="W25" s="663"/>
      <c r="X25" s="664"/>
      <c r="Y25" s="665"/>
      <c r="Z25" s="666"/>
      <c r="AA25" s="667"/>
      <c r="AB25" s="668"/>
      <c r="AC25" s="669"/>
    </row>
    <row r="26" spans="1:29" ht="15">
      <c r="A26" s="14"/>
      <c r="B26" s="38"/>
      <c r="C26" s="38"/>
      <c r="D26" s="4" t="s">
        <v>33</v>
      </c>
      <c r="E26" s="5"/>
      <c r="F26" s="5"/>
      <c r="G26" s="13" t="s">
        <v>35</v>
      </c>
      <c r="H26" s="1015">
        <v>68108</v>
      </c>
      <c r="I26" s="1015">
        <v>74362</v>
      </c>
      <c r="J26" s="1016">
        <v>41490</v>
      </c>
      <c r="K26" s="1016">
        <v>171973</v>
      </c>
      <c r="L26" s="1016">
        <v>39070</v>
      </c>
      <c r="M26" s="1015">
        <v>65170</v>
      </c>
      <c r="N26" s="1015">
        <v>40500</v>
      </c>
      <c r="O26" s="1015">
        <v>95400</v>
      </c>
      <c r="P26" s="1015">
        <v>38700</v>
      </c>
      <c r="Q26" s="1016">
        <v>116076</v>
      </c>
      <c r="R26" s="1016">
        <v>80177</v>
      </c>
      <c r="S26" s="1017">
        <v>94620</v>
      </c>
      <c r="T26" s="1017">
        <f t="shared" si="1"/>
        <v>925646</v>
      </c>
      <c r="U26" s="1017">
        <f>577000+1405000</f>
        <v>1982000</v>
      </c>
      <c r="V26" s="670"/>
      <c r="W26" s="671"/>
      <c r="X26" s="672"/>
      <c r="Y26" s="673"/>
      <c r="Z26" s="674"/>
      <c r="AA26" s="675"/>
      <c r="AB26" s="676"/>
      <c r="AC26" s="677"/>
    </row>
    <row r="27" spans="1:29" ht="15">
      <c r="A27" s="14"/>
      <c r="B27" s="38"/>
      <c r="C27" s="38"/>
      <c r="D27" s="4" t="s">
        <v>34</v>
      </c>
      <c r="E27" s="5"/>
      <c r="F27" s="5"/>
      <c r="G27" s="13" t="s">
        <v>35</v>
      </c>
      <c r="H27" s="1015">
        <v>240300</v>
      </c>
      <c r="I27" s="1015">
        <v>0</v>
      </c>
      <c r="J27" s="1016">
        <v>0</v>
      </c>
      <c r="K27" s="1016">
        <v>97200</v>
      </c>
      <c r="L27" s="1016">
        <v>421056</v>
      </c>
      <c r="M27" s="1015">
        <v>180000</v>
      </c>
      <c r="N27" s="1015">
        <v>302044</v>
      </c>
      <c r="O27" s="1015">
        <v>345240</v>
      </c>
      <c r="P27" s="1015">
        <v>0</v>
      </c>
      <c r="Q27" s="1016">
        <v>99000</v>
      </c>
      <c r="R27" s="1016">
        <v>180000</v>
      </c>
      <c r="S27" s="1017">
        <v>250644</v>
      </c>
      <c r="T27" s="1017">
        <f t="shared" si="1"/>
        <v>2115484</v>
      </c>
      <c r="U27" s="1017">
        <f>2037000+2216000</f>
        <v>4253000</v>
      </c>
      <c r="V27" s="678"/>
      <c r="W27" s="679"/>
      <c r="X27" s="680"/>
      <c r="Y27" s="681"/>
      <c r="Z27" s="682"/>
      <c r="AA27" s="683"/>
      <c r="AB27" s="684"/>
      <c r="AC27" s="685"/>
    </row>
    <row r="28" spans="1:29" ht="15">
      <c r="A28" s="14"/>
      <c r="B28" s="38"/>
      <c r="C28" s="38"/>
      <c r="D28" s="4" t="s">
        <v>3</v>
      </c>
      <c r="E28" s="5"/>
      <c r="F28" s="5"/>
      <c r="G28" s="13" t="s">
        <v>35</v>
      </c>
      <c r="H28" s="1016"/>
      <c r="I28" s="1016"/>
      <c r="J28" s="1016"/>
      <c r="K28" s="1016"/>
      <c r="L28" s="1016"/>
      <c r="M28" s="1016"/>
      <c r="N28" s="1016"/>
      <c r="O28" s="1016"/>
      <c r="P28" s="1016"/>
      <c r="Q28" s="1016"/>
      <c r="R28" s="1016"/>
      <c r="S28" s="1017"/>
      <c r="T28" s="1017">
        <f t="shared" si="1"/>
        <v>0</v>
      </c>
      <c r="U28" s="1017"/>
      <c r="V28" s="686"/>
      <c r="W28" s="687"/>
      <c r="X28" s="688"/>
      <c r="Y28" s="689"/>
      <c r="Z28" s="690"/>
      <c r="AA28" s="691"/>
      <c r="AB28" s="692"/>
      <c r="AC28" s="693"/>
    </row>
    <row r="29" spans="1:29" ht="15">
      <c r="A29" s="14"/>
      <c r="B29" s="38"/>
      <c r="C29" s="38"/>
      <c r="D29" s="4" t="s">
        <v>4</v>
      </c>
      <c r="E29" s="5"/>
      <c r="F29" s="5"/>
      <c r="G29" s="13" t="s">
        <v>35</v>
      </c>
      <c r="H29" s="1016"/>
      <c r="I29" s="1016"/>
      <c r="J29" s="1016"/>
      <c r="K29" s="1016"/>
      <c r="L29" s="1016"/>
      <c r="M29" s="1016"/>
      <c r="N29" s="1016"/>
      <c r="O29" s="1016"/>
      <c r="P29" s="1016"/>
      <c r="Q29" s="1016"/>
      <c r="R29" s="1016"/>
      <c r="S29" s="1017"/>
      <c r="T29" s="1017">
        <f t="shared" si="1"/>
        <v>0</v>
      </c>
      <c r="U29" s="1017"/>
      <c r="V29" s="694"/>
      <c r="W29" s="695"/>
      <c r="X29" s="696"/>
      <c r="Y29" s="697"/>
      <c r="Z29" s="698"/>
      <c r="AA29" s="699"/>
      <c r="AB29" s="700"/>
      <c r="AC29" s="701"/>
    </row>
    <row r="30" spans="1:29" ht="15">
      <c r="A30" s="14"/>
      <c r="B30" s="38"/>
      <c r="C30" s="38"/>
      <c r="D30" s="4" t="s">
        <v>8</v>
      </c>
      <c r="E30" s="5"/>
      <c r="F30" s="5"/>
      <c r="G30" s="13" t="s">
        <v>35</v>
      </c>
      <c r="H30" s="1014">
        <f>22833+2850174</f>
        <v>2873007</v>
      </c>
      <c r="I30" s="1015">
        <v>2877103</v>
      </c>
      <c r="J30" s="1015">
        <f>19116+2940499</f>
        <v>2959615</v>
      </c>
      <c r="K30" s="1016">
        <v>2634534</v>
      </c>
      <c r="L30" s="1016">
        <v>2656950</v>
      </c>
      <c r="M30" s="1016">
        <v>2441095</v>
      </c>
      <c r="N30" s="1015">
        <v>2318968</v>
      </c>
      <c r="O30" s="1015">
        <v>2140939</v>
      </c>
      <c r="P30" s="1015">
        <v>2093739</v>
      </c>
      <c r="Q30" s="1016">
        <v>2263690</v>
      </c>
      <c r="R30" s="1016">
        <v>1344398</v>
      </c>
      <c r="S30" s="1017">
        <v>1668227</v>
      </c>
      <c r="T30" s="1017">
        <f t="shared" si="1"/>
        <v>28272265</v>
      </c>
      <c r="U30" s="1017">
        <v>61176000</v>
      </c>
      <c r="V30" s="702"/>
      <c r="W30" s="703"/>
      <c r="X30" s="704"/>
      <c r="Y30" s="705"/>
      <c r="Z30" s="706"/>
      <c r="AA30" s="707"/>
      <c r="AB30" s="708"/>
      <c r="AC30" s="709"/>
    </row>
    <row r="31" spans="1:29" ht="15">
      <c r="A31" s="14"/>
      <c r="B31" s="38"/>
      <c r="C31" s="38"/>
      <c r="D31" s="4" t="s">
        <v>9</v>
      </c>
      <c r="E31" s="5"/>
      <c r="F31" s="5"/>
      <c r="G31" s="13" t="s">
        <v>35</v>
      </c>
      <c r="H31" s="1016"/>
      <c r="I31" s="1016"/>
      <c r="J31" s="1016"/>
      <c r="K31" s="1016"/>
      <c r="L31" s="1016"/>
      <c r="M31" s="1016"/>
      <c r="N31" s="1016"/>
      <c r="O31" s="1016"/>
      <c r="P31" s="1016"/>
      <c r="Q31" s="1016"/>
      <c r="R31" s="1016"/>
      <c r="S31" s="1017"/>
      <c r="T31" s="1017">
        <f t="shared" si="1"/>
        <v>0</v>
      </c>
      <c r="U31" s="1017"/>
      <c r="V31" s="710"/>
      <c r="W31" s="711"/>
      <c r="X31" s="712"/>
      <c r="Y31" s="713"/>
      <c r="Z31" s="714"/>
      <c r="AA31" s="715"/>
      <c r="AB31" s="716"/>
      <c r="AC31" s="717"/>
    </row>
    <row r="32" spans="1:29" ht="15">
      <c r="A32" s="14"/>
      <c r="B32" s="38"/>
      <c r="C32" s="38"/>
      <c r="D32" s="4" t="s">
        <v>10</v>
      </c>
      <c r="E32" s="5"/>
      <c r="F32" s="5"/>
      <c r="G32" s="13" t="s">
        <v>35</v>
      </c>
      <c r="H32" s="1016"/>
      <c r="I32" s="1016"/>
      <c r="J32" s="1016"/>
      <c r="K32" s="1016"/>
      <c r="L32" s="1016"/>
      <c r="M32" s="1016"/>
      <c r="N32" s="1016"/>
      <c r="O32" s="1016"/>
      <c r="P32" s="1016"/>
      <c r="Q32" s="1016"/>
      <c r="R32" s="1016"/>
      <c r="S32" s="1017"/>
      <c r="T32" s="1017">
        <f t="shared" si="1"/>
        <v>0</v>
      </c>
      <c r="U32" s="1017"/>
      <c r="V32" s="718"/>
      <c r="W32" s="719"/>
      <c r="X32" s="720"/>
      <c r="Y32" s="721"/>
      <c r="Z32" s="722"/>
      <c r="AA32" s="723"/>
      <c r="AB32" s="724"/>
      <c r="AC32" s="725"/>
    </row>
    <row r="33" spans="1:29" ht="15.75" thickBot="1">
      <c r="A33" s="40"/>
      <c r="B33" s="41"/>
      <c r="C33" s="41"/>
      <c r="D33" s="34" t="s">
        <v>15</v>
      </c>
      <c r="E33" s="43"/>
      <c r="F33" s="43"/>
      <c r="G33" s="44" t="s">
        <v>35</v>
      </c>
      <c r="H33" s="1084">
        <f>325680+9549196</f>
        <v>9874876</v>
      </c>
      <c r="I33" s="1085">
        <f>325900+9487476</f>
        <v>9813376</v>
      </c>
      <c r="J33" s="1085">
        <f>336160+9333556</f>
        <v>9669716</v>
      </c>
      <c r="K33" s="1086">
        <f>317080+9414736</f>
        <v>9731816</v>
      </c>
      <c r="L33" s="1086">
        <f>334680+9576836</f>
        <v>9911516</v>
      </c>
      <c r="M33" s="1086">
        <f>315780+9536718</f>
        <v>9852498</v>
      </c>
      <c r="N33" s="1085">
        <f>283980+9562276</f>
        <v>9846256</v>
      </c>
      <c r="O33" s="1085">
        <f>305880+9166748</f>
        <v>9472628</v>
      </c>
      <c r="P33" s="1085">
        <f>314080+9252108</f>
        <v>9566188</v>
      </c>
      <c r="Q33" s="1086">
        <f>311480+9292508</f>
        <v>9603988</v>
      </c>
      <c r="R33" s="1086">
        <f>292580+9182978</f>
        <v>9475558</v>
      </c>
      <c r="S33" s="1087">
        <f>286980+9083538</f>
        <v>9370518</v>
      </c>
      <c r="T33" s="1087">
        <f t="shared" si="1"/>
        <v>116188934</v>
      </c>
      <c r="U33" s="1087">
        <f>6641000+120719000</f>
        <v>127360000</v>
      </c>
      <c r="V33" s="726"/>
      <c r="W33" s="727"/>
      <c r="X33" s="728"/>
      <c r="Y33" s="729"/>
      <c r="Z33" s="730"/>
      <c r="AA33" s="731"/>
      <c r="AB33" s="732"/>
      <c r="AC33" s="733"/>
    </row>
    <row r="34" spans="1:29" ht="15.75" thickBot="1">
      <c r="A34" s="1138"/>
      <c r="B34" s="1139"/>
      <c r="C34" s="1139"/>
      <c r="D34" s="1139"/>
      <c r="E34" s="1139"/>
      <c r="F34" s="1139"/>
      <c r="G34" s="1139" t="s">
        <v>92</v>
      </c>
      <c r="H34" s="1141">
        <f t="shared" ref="H34:O34" si="4">SUM(H14:H33,H10:H12,H5:H8)</f>
        <v>153915321</v>
      </c>
      <c r="I34" s="1141">
        <f t="shared" si="4"/>
        <v>152079473</v>
      </c>
      <c r="J34" s="1141">
        <f t="shared" si="4"/>
        <v>161809321</v>
      </c>
      <c r="K34" s="1141">
        <f t="shared" si="4"/>
        <v>154433985</v>
      </c>
      <c r="L34" s="1141">
        <f>SUM(L14:L33,L10:L12,L5:L8)</f>
        <v>161695678</v>
      </c>
      <c r="M34" s="1141">
        <f t="shared" si="4"/>
        <v>158420985</v>
      </c>
      <c r="N34" s="1141">
        <f t="shared" si="4"/>
        <v>155377127</v>
      </c>
      <c r="O34" s="1141">
        <f t="shared" si="4"/>
        <v>159849742</v>
      </c>
      <c r="P34" s="1141">
        <f>SUM(P14:P33,P10:P12,P5:P8)</f>
        <v>157175478</v>
      </c>
      <c r="Q34" s="1141">
        <f t="shared" ref="Q34:U34" si="5">SUM(Q14:Q33,Q10:Q12,Q5:Q8)</f>
        <v>158636609</v>
      </c>
      <c r="R34" s="1141">
        <f t="shared" si="5"/>
        <v>152419470</v>
      </c>
      <c r="S34" s="1141">
        <f t="shared" si="5"/>
        <v>141939975</v>
      </c>
      <c r="T34" s="1141">
        <f t="shared" si="5"/>
        <v>1867753164</v>
      </c>
      <c r="U34" s="1141">
        <f t="shared" si="5"/>
        <v>1962418000</v>
      </c>
      <c r="V34" s="1330"/>
      <c r="W34" s="1330"/>
      <c r="X34" s="1330"/>
      <c r="Y34" s="1330"/>
      <c r="Z34" s="1330"/>
      <c r="AA34" s="1330"/>
      <c r="AB34" s="1330"/>
      <c r="AC34" s="1330"/>
    </row>
    <row r="35" spans="1:29" ht="16.5" customHeight="1">
      <c r="A35" s="10"/>
      <c r="B35" s="11"/>
      <c r="C35" s="11"/>
      <c r="D35" s="11"/>
      <c r="E35" s="11"/>
      <c r="F35" s="11"/>
      <c r="G35" s="11"/>
      <c r="H35" s="1292" t="s">
        <v>70</v>
      </c>
      <c r="I35" s="1293"/>
      <c r="S35" s="1142" t="s">
        <v>94</v>
      </c>
      <c r="T35" s="1143">
        <f>T34/U34*100</f>
        <v>95.176112530561781</v>
      </c>
      <c r="U35" s="1" t="s">
        <v>93</v>
      </c>
      <c r="V35" s="1137"/>
      <c r="W35" s="1137"/>
      <c r="X35" s="1137"/>
      <c r="Y35" s="1137"/>
      <c r="Z35" s="1137"/>
      <c r="AA35" s="1137"/>
      <c r="AB35" s="1137"/>
      <c r="AC35" s="1137"/>
    </row>
    <row r="36" spans="1:29" ht="17.25" customHeight="1" thickBot="1">
      <c r="A36" s="19"/>
      <c r="B36" s="20"/>
      <c r="C36" s="20"/>
      <c r="D36" s="20"/>
      <c r="E36" s="20"/>
      <c r="F36" s="20"/>
      <c r="G36" s="20"/>
      <c r="H36" s="1314" t="s">
        <v>71</v>
      </c>
      <c r="I36" s="1315"/>
      <c r="J36" s="1005"/>
      <c r="K36" s="1005"/>
      <c r="L36" s="1005"/>
      <c r="M36" s="1005"/>
      <c r="N36" s="1137"/>
      <c r="O36" s="1137"/>
      <c r="P36" s="1137"/>
      <c r="Q36" s="1137"/>
      <c r="R36" s="1137"/>
      <c r="S36" s="1137"/>
      <c r="T36" s="1137"/>
      <c r="U36" s="1137"/>
      <c r="V36" s="92"/>
      <c r="W36" s="94"/>
      <c r="X36" s="94"/>
      <c r="Y36" s="94"/>
      <c r="Z36" s="92"/>
      <c r="AA36" s="94"/>
      <c r="AB36" s="94"/>
      <c r="AC36" s="94"/>
    </row>
    <row r="37" spans="1:29" ht="18" customHeight="1" thickTop="1">
      <c r="A37" s="39" t="s">
        <v>20</v>
      </c>
      <c r="B37" s="36"/>
      <c r="C37" s="36"/>
      <c r="D37" s="53" t="s">
        <v>16</v>
      </c>
      <c r="E37" s="54"/>
      <c r="F37" s="54"/>
      <c r="G37" s="55" t="s">
        <v>41</v>
      </c>
      <c r="H37" s="1328">
        <f>T4/U4*100</f>
        <v>106.16037433400697</v>
      </c>
      <c r="I37" s="1329"/>
      <c r="J37" s="93"/>
      <c r="K37" s="93"/>
      <c r="L37" s="93"/>
      <c r="M37" s="93"/>
      <c r="N37" s="93"/>
      <c r="O37" s="1137"/>
      <c r="P37" s="1137"/>
      <c r="Q37" s="1137"/>
      <c r="R37" s="1137"/>
      <c r="S37" s="1137"/>
      <c r="T37" s="1137"/>
      <c r="U37" s="1137"/>
      <c r="V37" s="741"/>
      <c r="W37" s="495"/>
      <c r="X37" s="496"/>
      <c r="Y37" s="497"/>
      <c r="Z37" s="498"/>
      <c r="AA37" s="499"/>
      <c r="AB37" s="500"/>
      <c r="AC37" s="501"/>
    </row>
    <row r="38" spans="1:29" ht="15">
      <c r="A38" s="14"/>
      <c r="B38" s="38"/>
      <c r="C38" s="38"/>
      <c r="D38" s="4" t="s">
        <v>21</v>
      </c>
      <c r="E38" s="47"/>
      <c r="F38" s="47"/>
      <c r="G38" s="48" t="s">
        <v>35</v>
      </c>
      <c r="H38" s="1308">
        <f t="shared" ref="H38:H66" si="6">T5/U5*100</f>
        <v>84.493177711632725</v>
      </c>
      <c r="I38" s="1309"/>
      <c r="J38" s="152"/>
      <c r="K38" s="153"/>
      <c r="L38" s="154"/>
      <c r="M38" s="155"/>
      <c r="N38" s="145"/>
      <c r="O38" s="146"/>
      <c r="P38" s="147"/>
      <c r="Q38" s="149"/>
      <c r="R38" s="150"/>
      <c r="S38" s="151"/>
      <c r="T38" s="151"/>
      <c r="U38" s="151"/>
      <c r="V38" s="749"/>
      <c r="W38" s="503"/>
      <c r="X38" s="504"/>
      <c r="Y38" s="505"/>
      <c r="Z38" s="506"/>
      <c r="AA38" s="507"/>
      <c r="AB38" s="508"/>
      <c r="AC38" s="509"/>
    </row>
    <row r="39" spans="1:29" ht="15">
      <c r="A39" s="14"/>
      <c r="B39" s="38"/>
      <c r="C39" s="38"/>
      <c r="D39" s="4" t="s">
        <v>32</v>
      </c>
      <c r="E39" s="5"/>
      <c r="F39" s="5"/>
      <c r="G39" s="13" t="s">
        <v>35</v>
      </c>
      <c r="H39" s="1308">
        <f t="shared" si="6"/>
        <v>119.89979788949998</v>
      </c>
      <c r="I39" s="1309"/>
      <c r="J39" s="164"/>
      <c r="K39" s="165"/>
      <c r="L39" s="166"/>
      <c r="M39" s="167"/>
      <c r="N39" s="157"/>
      <c r="O39" s="158"/>
      <c r="P39" s="159"/>
      <c r="Q39" s="161"/>
      <c r="R39" s="162"/>
      <c r="S39" s="163"/>
      <c r="T39" s="163"/>
      <c r="U39" s="163"/>
      <c r="V39" s="757"/>
      <c r="W39" s="511"/>
      <c r="X39" s="512"/>
      <c r="Y39" s="513"/>
      <c r="Z39" s="514"/>
      <c r="AA39" s="515"/>
      <c r="AB39" s="516"/>
      <c r="AC39" s="517"/>
    </row>
    <row r="40" spans="1:29" ht="15">
      <c r="A40" s="14"/>
      <c r="B40" s="38"/>
      <c r="C40" s="38"/>
      <c r="D40" s="4" t="s">
        <v>22</v>
      </c>
      <c r="E40" s="5"/>
      <c r="F40" s="5"/>
      <c r="G40" s="13" t="s">
        <v>35</v>
      </c>
      <c r="H40" s="1308">
        <f t="shared" si="6"/>
        <v>129.64143093608715</v>
      </c>
      <c r="I40" s="1309"/>
      <c r="J40" s="176"/>
      <c r="K40" s="177"/>
      <c r="L40" s="178"/>
      <c r="M40" s="179"/>
      <c r="N40" s="169"/>
      <c r="O40" s="170"/>
      <c r="P40" s="171"/>
      <c r="Q40" s="173"/>
      <c r="R40" s="174"/>
      <c r="S40" s="175"/>
      <c r="T40" s="175"/>
      <c r="U40" s="175"/>
      <c r="V40" s="765"/>
      <c r="W40" s="519"/>
      <c r="X40" s="520"/>
      <c r="Y40" s="521"/>
      <c r="Z40" s="522"/>
      <c r="AA40" s="523"/>
      <c r="AB40" s="524"/>
      <c r="AC40" s="525"/>
    </row>
    <row r="41" spans="1:29" ht="15">
      <c r="A41" s="14"/>
      <c r="B41" s="38"/>
      <c r="C41" s="38"/>
      <c r="D41" s="49" t="s">
        <v>23</v>
      </c>
      <c r="E41" s="36"/>
      <c r="F41" s="36"/>
      <c r="G41" s="50" t="s">
        <v>35</v>
      </c>
      <c r="H41" s="1308">
        <f t="shared" si="6"/>
        <v>300.17767754964655</v>
      </c>
      <c r="I41" s="1309"/>
      <c r="J41" s="188"/>
      <c r="K41" s="189"/>
      <c r="L41" s="190"/>
      <c r="M41" s="191"/>
      <c r="N41" s="181"/>
      <c r="O41" s="182"/>
      <c r="P41" s="183"/>
      <c r="Q41" s="185"/>
      <c r="R41" s="186"/>
      <c r="S41" s="187"/>
      <c r="T41" s="187"/>
      <c r="U41" s="187"/>
      <c r="V41" s="773"/>
      <c r="W41" s="527"/>
      <c r="X41" s="528"/>
      <c r="Y41" s="529"/>
      <c r="Z41" s="530"/>
      <c r="AA41" s="531"/>
      <c r="AB41" s="532"/>
      <c r="AC41" s="533"/>
    </row>
    <row r="42" spans="1:29" ht="15">
      <c r="A42" s="39" t="s">
        <v>2</v>
      </c>
      <c r="B42" s="36"/>
      <c r="C42" s="36"/>
      <c r="D42" s="53" t="s">
        <v>16</v>
      </c>
      <c r="E42" s="54"/>
      <c r="F42" s="54"/>
      <c r="G42" s="56" t="s">
        <v>35</v>
      </c>
      <c r="H42" s="1325">
        <f t="shared" si="6"/>
        <v>95.434899457947196</v>
      </c>
      <c r="I42" s="1326"/>
      <c r="J42" s="200"/>
      <c r="K42" s="201"/>
      <c r="L42" s="202"/>
      <c r="M42" s="203"/>
      <c r="N42" s="193"/>
      <c r="O42" s="194"/>
      <c r="P42" s="195"/>
      <c r="Q42" s="197"/>
      <c r="R42" s="198"/>
      <c r="S42" s="199"/>
      <c r="T42" s="199"/>
      <c r="U42" s="199"/>
      <c r="V42" s="781"/>
      <c r="W42" s="535"/>
      <c r="X42" s="536"/>
      <c r="Y42" s="537"/>
      <c r="Z42" s="538"/>
      <c r="AA42" s="539"/>
      <c r="AB42" s="540"/>
      <c r="AC42" s="541"/>
    </row>
    <row r="43" spans="1:29" ht="15">
      <c r="A43" s="14"/>
      <c r="B43" s="38"/>
      <c r="C43" s="38"/>
      <c r="D43" s="4" t="s">
        <v>17</v>
      </c>
      <c r="E43" s="5"/>
      <c r="F43" s="5"/>
      <c r="G43" s="13" t="s">
        <v>35</v>
      </c>
      <c r="H43" s="1308">
        <f t="shared" si="6"/>
        <v>25.106938868267552</v>
      </c>
      <c r="I43" s="1309"/>
      <c r="J43" s="212"/>
      <c r="K43" s="213"/>
      <c r="L43" s="214"/>
      <c r="M43" s="215"/>
      <c r="N43" s="205"/>
      <c r="O43" s="206"/>
      <c r="P43" s="207"/>
      <c r="Q43" s="209"/>
      <c r="R43" s="210"/>
      <c r="S43" s="211"/>
      <c r="T43" s="211"/>
      <c r="U43" s="211"/>
      <c r="V43" s="789"/>
      <c r="W43" s="543"/>
      <c r="X43" s="544"/>
      <c r="Y43" s="545"/>
      <c r="Z43" s="546"/>
      <c r="AA43" s="547"/>
      <c r="AB43" s="548"/>
      <c r="AC43" s="549"/>
    </row>
    <row r="44" spans="1:29" ht="15">
      <c r="A44" s="14"/>
      <c r="B44" s="38"/>
      <c r="C44" s="38"/>
      <c r="D44" s="4" t="s">
        <v>19</v>
      </c>
      <c r="E44" s="5"/>
      <c r="F44" s="5"/>
      <c r="G44" s="13" t="s">
        <v>35</v>
      </c>
      <c r="H44" s="1327" t="s">
        <v>77</v>
      </c>
      <c r="I44" s="1309"/>
      <c r="J44" s="224"/>
      <c r="K44" s="225"/>
      <c r="L44" s="226"/>
      <c r="M44" s="227"/>
      <c r="N44" s="217"/>
      <c r="O44" s="218"/>
      <c r="P44" s="219"/>
      <c r="Q44" s="221"/>
      <c r="R44" s="222"/>
      <c r="S44" s="223"/>
      <c r="T44" s="223"/>
      <c r="U44" s="223"/>
      <c r="V44" s="797"/>
      <c r="W44" s="551"/>
      <c r="X44" s="552"/>
      <c r="Y44" s="553"/>
      <c r="Z44" s="554"/>
      <c r="AA44" s="555"/>
      <c r="AB44" s="556"/>
      <c r="AC44" s="557"/>
    </row>
    <row r="45" spans="1:29" ht="15">
      <c r="A45" s="15"/>
      <c r="B45" s="37"/>
      <c r="C45" s="37"/>
      <c r="D45" s="4" t="s">
        <v>18</v>
      </c>
      <c r="E45" s="5"/>
      <c r="F45" s="5"/>
      <c r="G45" s="13" t="s">
        <v>35</v>
      </c>
      <c r="H45" s="1308">
        <f t="shared" si="6"/>
        <v>101.2971541147573</v>
      </c>
      <c r="I45" s="1309"/>
      <c r="J45" s="236"/>
      <c r="K45" s="237"/>
      <c r="L45" s="238"/>
      <c r="M45" s="239"/>
      <c r="N45" s="229"/>
      <c r="O45" s="230"/>
      <c r="P45" s="231"/>
      <c r="Q45" s="233"/>
      <c r="R45" s="234"/>
      <c r="S45" s="235"/>
      <c r="T45" s="235"/>
      <c r="U45" s="235"/>
      <c r="V45" s="805"/>
      <c r="W45" s="559"/>
      <c r="X45" s="560"/>
      <c r="Y45" s="561"/>
      <c r="Z45" s="562"/>
      <c r="AA45" s="563"/>
      <c r="AB45" s="564"/>
      <c r="AC45" s="565"/>
    </row>
    <row r="46" spans="1:29" ht="15">
      <c r="A46" s="39" t="s">
        <v>1</v>
      </c>
      <c r="B46" s="36"/>
      <c r="C46" s="36"/>
      <c r="D46" s="53" t="s">
        <v>16</v>
      </c>
      <c r="E46" s="54"/>
      <c r="F46" s="54"/>
      <c r="G46" s="56" t="s">
        <v>35</v>
      </c>
      <c r="H46" s="1316">
        <f t="shared" si="6"/>
        <v>88.830892652467114</v>
      </c>
      <c r="I46" s="1317"/>
      <c r="J46" s="248"/>
      <c r="K46" s="249"/>
      <c r="L46" s="250"/>
      <c r="M46" s="251"/>
      <c r="N46" s="241"/>
      <c r="O46" s="242"/>
      <c r="P46" s="243"/>
      <c r="Q46" s="245"/>
      <c r="R46" s="246"/>
      <c r="S46" s="247"/>
      <c r="T46" s="247"/>
      <c r="U46" s="247"/>
      <c r="V46" s="813"/>
      <c r="W46" s="567"/>
      <c r="X46" s="568"/>
      <c r="Y46" s="569"/>
      <c r="Z46" s="570"/>
      <c r="AA46" s="571"/>
      <c r="AB46" s="572"/>
      <c r="AC46" s="573"/>
    </row>
    <row r="47" spans="1:29" ht="15">
      <c r="A47" s="14"/>
      <c r="B47" s="38"/>
      <c r="C47" s="38"/>
      <c r="D47" s="4" t="s">
        <v>25</v>
      </c>
      <c r="E47" s="5"/>
      <c r="F47" s="5"/>
      <c r="G47" s="13" t="s">
        <v>35</v>
      </c>
      <c r="H47" s="1308">
        <f t="shared" si="6"/>
        <v>84.296836904892047</v>
      </c>
      <c r="I47" s="1309"/>
      <c r="J47" s="260"/>
      <c r="K47" s="261"/>
      <c r="L47" s="262"/>
      <c r="M47" s="263"/>
      <c r="N47" s="253"/>
      <c r="O47" s="254"/>
      <c r="P47" s="255"/>
      <c r="Q47" s="257"/>
      <c r="R47" s="258"/>
      <c r="S47" s="259"/>
      <c r="T47" s="259"/>
      <c r="U47" s="259"/>
      <c r="V47" s="821"/>
      <c r="W47" s="575"/>
      <c r="X47" s="576"/>
      <c r="Y47" s="577"/>
      <c r="Z47" s="578"/>
      <c r="AA47" s="579"/>
      <c r="AB47" s="580"/>
      <c r="AC47" s="581"/>
    </row>
    <row r="48" spans="1:29" ht="15">
      <c r="A48" s="14"/>
      <c r="B48" s="38"/>
      <c r="C48" s="38"/>
      <c r="D48" s="4" t="s">
        <v>26</v>
      </c>
      <c r="E48" s="5"/>
      <c r="F48" s="5"/>
      <c r="G48" s="13" t="s">
        <v>35</v>
      </c>
      <c r="H48" s="1308">
        <f t="shared" si="6"/>
        <v>60.737788821479278</v>
      </c>
      <c r="I48" s="1309"/>
      <c r="J48" s="272"/>
      <c r="K48" s="273"/>
      <c r="L48" s="274"/>
      <c r="M48" s="275"/>
      <c r="N48" s="265"/>
      <c r="O48" s="266"/>
      <c r="P48" s="267"/>
      <c r="Q48" s="269"/>
      <c r="R48" s="270"/>
      <c r="S48" s="271"/>
      <c r="T48" s="271"/>
      <c r="U48" s="271"/>
      <c r="V48" s="829"/>
      <c r="W48" s="583"/>
      <c r="X48" s="584"/>
      <c r="Y48" s="585"/>
      <c r="Z48" s="586"/>
      <c r="AA48" s="587"/>
      <c r="AB48" s="588"/>
      <c r="AC48" s="589"/>
    </row>
    <row r="49" spans="1:29" ht="15">
      <c r="A49" s="14"/>
      <c r="B49" s="38"/>
      <c r="C49" s="38"/>
      <c r="D49" s="4" t="s">
        <v>27</v>
      </c>
      <c r="E49" s="5"/>
      <c r="F49" s="5"/>
      <c r="G49" s="13" t="s">
        <v>35</v>
      </c>
      <c r="H49" s="1308">
        <f t="shared" si="6"/>
        <v>96.222264573393389</v>
      </c>
      <c r="I49" s="1309"/>
      <c r="J49" s="284"/>
      <c r="K49" s="285"/>
      <c r="L49" s="286"/>
      <c r="M49" s="287"/>
      <c r="N49" s="277"/>
      <c r="O49" s="278"/>
      <c r="P49" s="279"/>
      <c r="Q49" s="281"/>
      <c r="R49" s="282"/>
      <c r="S49" s="283"/>
      <c r="T49" s="283"/>
      <c r="U49" s="283"/>
      <c r="V49" s="837"/>
      <c r="W49" s="591"/>
      <c r="X49" s="592"/>
      <c r="Y49" s="593"/>
      <c r="Z49" s="594"/>
      <c r="AA49" s="595"/>
      <c r="AB49" s="596"/>
      <c r="AC49" s="597"/>
    </row>
    <row r="50" spans="1:29" ht="15">
      <c r="A50" s="14"/>
      <c r="B50" s="38"/>
      <c r="C50" s="38"/>
      <c r="D50" s="4" t="s">
        <v>28</v>
      </c>
      <c r="E50" s="5"/>
      <c r="F50" s="5"/>
      <c r="G50" s="13" t="s">
        <v>35</v>
      </c>
      <c r="H50" s="1308">
        <f t="shared" si="6"/>
        <v>99.63800424628451</v>
      </c>
      <c r="I50" s="1309"/>
      <c r="J50" s="296"/>
      <c r="K50" s="297"/>
      <c r="L50" s="298"/>
      <c r="M50" s="299"/>
      <c r="N50" s="289"/>
      <c r="O50" s="290"/>
      <c r="P50" s="291"/>
      <c r="Q50" s="293"/>
      <c r="R50" s="294"/>
      <c r="S50" s="295"/>
      <c r="T50" s="295"/>
      <c r="U50" s="295"/>
      <c r="V50" s="845"/>
      <c r="W50" s="599"/>
      <c r="X50" s="600"/>
      <c r="Y50" s="601"/>
      <c r="Z50" s="602"/>
      <c r="AA50" s="603"/>
      <c r="AB50" s="604"/>
      <c r="AC50" s="605"/>
    </row>
    <row r="51" spans="1:29" ht="15">
      <c r="A51" s="14"/>
      <c r="B51" s="38"/>
      <c r="C51" s="38"/>
      <c r="D51" s="4" t="s">
        <v>29</v>
      </c>
      <c r="E51" s="5"/>
      <c r="F51" s="5"/>
      <c r="G51" s="13" t="s">
        <v>35</v>
      </c>
      <c r="H51" s="1308">
        <f t="shared" si="6"/>
        <v>66.288803222094359</v>
      </c>
      <c r="I51" s="1309"/>
      <c r="J51" s="308"/>
      <c r="K51" s="309"/>
      <c r="L51" s="310"/>
      <c r="M51" s="311"/>
      <c r="N51" s="301"/>
      <c r="O51" s="302"/>
      <c r="P51" s="303"/>
      <c r="Q51" s="305"/>
      <c r="R51" s="306"/>
      <c r="S51" s="307"/>
      <c r="T51" s="307"/>
      <c r="U51" s="307"/>
      <c r="V51" s="853"/>
      <c r="W51" s="607"/>
      <c r="X51" s="608"/>
      <c r="Y51" s="609"/>
      <c r="Z51" s="610"/>
      <c r="AA51" s="611"/>
      <c r="AB51" s="612"/>
      <c r="AC51" s="613"/>
    </row>
    <row r="52" spans="1:29" ht="15">
      <c r="A52" s="14"/>
      <c r="B52" s="38"/>
      <c r="C52" s="38"/>
      <c r="D52" s="4" t="s">
        <v>5</v>
      </c>
      <c r="E52" s="5"/>
      <c r="F52" s="5"/>
      <c r="G52" s="13" t="s">
        <v>35</v>
      </c>
      <c r="H52" s="1308">
        <f t="shared" si="6"/>
        <v>84.953196454740734</v>
      </c>
      <c r="I52" s="1309"/>
      <c r="J52" s="320"/>
      <c r="K52" s="321"/>
      <c r="L52" s="322"/>
      <c r="M52" s="323"/>
      <c r="N52" s="313"/>
      <c r="O52" s="314"/>
      <c r="P52" s="315"/>
      <c r="Q52" s="317"/>
      <c r="R52" s="318"/>
      <c r="S52" s="319"/>
      <c r="T52" s="319"/>
      <c r="U52" s="319"/>
      <c r="V52" s="861"/>
      <c r="W52" s="615"/>
      <c r="X52" s="616"/>
      <c r="Y52" s="617"/>
      <c r="Z52" s="618"/>
      <c r="AA52" s="619"/>
      <c r="AB52" s="620"/>
      <c r="AC52" s="621"/>
    </row>
    <row r="53" spans="1:29" ht="15">
      <c r="A53" s="14"/>
      <c r="B53" s="38"/>
      <c r="C53" s="38"/>
      <c r="D53" s="4" t="s">
        <v>6</v>
      </c>
      <c r="E53" s="5"/>
      <c r="F53" s="5"/>
      <c r="G53" s="13" t="s">
        <v>35</v>
      </c>
      <c r="H53" s="1308" t="e">
        <f t="shared" si="6"/>
        <v>#DIV/0!</v>
      </c>
      <c r="I53" s="1309"/>
      <c r="J53" s="332"/>
      <c r="K53" s="333"/>
      <c r="L53" s="334"/>
      <c r="M53" s="335"/>
      <c r="N53" s="325"/>
      <c r="O53" s="326"/>
      <c r="P53" s="327"/>
      <c r="Q53" s="329"/>
      <c r="R53" s="330"/>
      <c r="S53" s="331"/>
      <c r="T53" s="331"/>
      <c r="U53" s="331"/>
      <c r="V53" s="869"/>
      <c r="W53" s="623"/>
      <c r="X53" s="624"/>
      <c r="Y53" s="625"/>
      <c r="Z53" s="626"/>
      <c r="AA53" s="627"/>
      <c r="AB53" s="628"/>
      <c r="AC53" s="629"/>
    </row>
    <row r="54" spans="1:29" ht="15">
      <c r="A54" s="14"/>
      <c r="B54" s="38"/>
      <c r="C54" s="38"/>
      <c r="D54" s="4" t="s">
        <v>7</v>
      </c>
      <c r="E54" s="5"/>
      <c r="F54" s="5"/>
      <c r="G54" s="13" t="s">
        <v>35</v>
      </c>
      <c r="H54" s="1308">
        <f t="shared" si="6"/>
        <v>159.36794756458039</v>
      </c>
      <c r="I54" s="1309"/>
      <c r="J54" s="344"/>
      <c r="K54" s="345"/>
      <c r="L54" s="346"/>
      <c r="M54" s="347"/>
      <c r="N54" s="337"/>
      <c r="O54" s="338"/>
      <c r="P54" s="339"/>
      <c r="Q54" s="341"/>
      <c r="R54" s="342"/>
      <c r="S54" s="343"/>
      <c r="T54" s="343"/>
      <c r="U54" s="343"/>
      <c r="V54" s="877"/>
      <c r="W54" s="631"/>
      <c r="X54" s="632"/>
      <c r="Y54" s="633"/>
      <c r="Z54" s="634"/>
      <c r="AA54" s="635"/>
      <c r="AB54" s="636"/>
      <c r="AC54" s="637"/>
    </row>
    <row r="55" spans="1:29" ht="15">
      <c r="A55" s="14"/>
      <c r="B55" s="38"/>
      <c r="C55" s="38"/>
      <c r="D55" s="4" t="s">
        <v>11</v>
      </c>
      <c r="E55" s="5"/>
      <c r="F55" s="5"/>
      <c r="G55" s="13" t="s">
        <v>35</v>
      </c>
      <c r="H55" s="1308">
        <f t="shared" si="6"/>
        <v>94.439843968980668</v>
      </c>
      <c r="I55" s="1309"/>
      <c r="J55" s="356"/>
      <c r="K55" s="357"/>
      <c r="L55" s="358"/>
      <c r="M55" s="359"/>
      <c r="N55" s="349"/>
      <c r="O55" s="350"/>
      <c r="P55" s="351"/>
      <c r="Q55" s="353"/>
      <c r="R55" s="354"/>
      <c r="S55" s="355"/>
      <c r="T55" s="355"/>
      <c r="U55" s="355"/>
      <c r="V55" s="885"/>
      <c r="W55" s="639"/>
      <c r="X55" s="640"/>
      <c r="Y55" s="641"/>
      <c r="Z55" s="642"/>
      <c r="AA55" s="643"/>
      <c r="AB55" s="644"/>
      <c r="AC55" s="645"/>
    </row>
    <row r="56" spans="1:29" ht="15">
      <c r="A56" s="14"/>
      <c r="B56" s="38"/>
      <c r="C56" s="38"/>
      <c r="D56" s="4" t="s">
        <v>12</v>
      </c>
      <c r="E56" s="5"/>
      <c r="F56" s="5"/>
      <c r="G56" s="13" t="s">
        <v>35</v>
      </c>
      <c r="H56" s="1308">
        <f t="shared" si="6"/>
        <v>163.23631616425348</v>
      </c>
      <c r="I56" s="1309"/>
      <c r="J56" s="368"/>
      <c r="K56" s="369"/>
      <c r="L56" s="370"/>
      <c r="M56" s="371"/>
      <c r="N56" s="361"/>
      <c r="O56" s="362"/>
      <c r="P56" s="363"/>
      <c r="Q56" s="365"/>
      <c r="R56" s="366"/>
      <c r="S56" s="367"/>
      <c r="T56" s="367"/>
      <c r="U56" s="367"/>
      <c r="V56" s="893"/>
      <c r="W56" s="647"/>
      <c r="X56" s="648"/>
      <c r="Y56" s="649"/>
      <c r="Z56" s="650"/>
      <c r="AA56" s="651"/>
      <c r="AB56" s="652"/>
      <c r="AC56" s="653"/>
    </row>
    <row r="57" spans="1:29" ht="15">
      <c r="A57" s="14"/>
      <c r="B57" s="38"/>
      <c r="C57" s="38"/>
      <c r="D57" s="4" t="s">
        <v>13</v>
      </c>
      <c r="E57" s="5"/>
      <c r="F57" s="5"/>
      <c r="G57" s="13" t="s">
        <v>35</v>
      </c>
      <c r="H57" s="1327" t="s">
        <v>77</v>
      </c>
      <c r="I57" s="1309"/>
      <c r="J57" s="380"/>
      <c r="K57" s="381"/>
      <c r="L57" s="382"/>
      <c r="M57" s="383"/>
      <c r="N57" s="373"/>
      <c r="O57" s="374"/>
      <c r="P57" s="375"/>
      <c r="Q57" s="377"/>
      <c r="R57" s="378"/>
      <c r="S57" s="379"/>
      <c r="T57" s="379"/>
      <c r="U57" s="379"/>
      <c r="V57" s="901"/>
      <c r="W57" s="655"/>
      <c r="X57" s="656"/>
      <c r="Y57" s="657"/>
      <c r="Z57" s="658"/>
      <c r="AA57" s="659"/>
      <c r="AB57" s="660"/>
      <c r="AC57" s="661"/>
    </row>
    <row r="58" spans="1:29" ht="15">
      <c r="A58" s="14"/>
      <c r="B58" s="38"/>
      <c r="C58" s="38"/>
      <c r="D58" s="4" t="s">
        <v>14</v>
      </c>
      <c r="E58" s="5"/>
      <c r="F58" s="5"/>
      <c r="G58" s="13" t="s">
        <v>35</v>
      </c>
      <c r="H58" s="1308">
        <f t="shared" si="6"/>
        <v>113.65848030205177</v>
      </c>
      <c r="I58" s="1309"/>
      <c r="J58" s="392"/>
      <c r="K58" s="393"/>
      <c r="L58" s="394"/>
      <c r="M58" s="395"/>
      <c r="N58" s="385"/>
      <c r="O58" s="386"/>
      <c r="P58" s="387"/>
      <c r="Q58" s="389"/>
      <c r="R58" s="390"/>
      <c r="S58" s="391"/>
      <c r="T58" s="391"/>
      <c r="U58" s="391"/>
      <c r="V58" s="909"/>
      <c r="W58" s="663"/>
      <c r="X58" s="664"/>
      <c r="Y58" s="665"/>
      <c r="Z58" s="666"/>
      <c r="AA58" s="667"/>
      <c r="AB58" s="668"/>
      <c r="AC58" s="669"/>
    </row>
    <row r="59" spans="1:29" ht="15">
      <c r="A59" s="14"/>
      <c r="B59" s="38"/>
      <c r="C59" s="38"/>
      <c r="D59" s="4" t="s">
        <v>33</v>
      </c>
      <c r="E59" s="5"/>
      <c r="F59" s="5"/>
      <c r="G59" s="13" t="s">
        <v>35</v>
      </c>
      <c r="H59" s="1308">
        <f t="shared" si="6"/>
        <v>46.70262361251261</v>
      </c>
      <c r="I59" s="1309"/>
      <c r="J59" s="404"/>
      <c r="K59" s="405"/>
      <c r="L59" s="406"/>
      <c r="M59" s="407"/>
      <c r="N59" s="397"/>
      <c r="O59" s="398"/>
      <c r="P59" s="399"/>
      <c r="Q59" s="401"/>
      <c r="R59" s="402"/>
      <c r="S59" s="403"/>
      <c r="T59" s="403"/>
      <c r="U59" s="403"/>
      <c r="V59" s="917"/>
      <c r="W59" s="671"/>
      <c r="X59" s="672"/>
      <c r="Y59" s="673"/>
      <c r="Z59" s="674"/>
      <c r="AA59" s="675"/>
      <c r="AB59" s="676"/>
      <c r="AC59" s="677"/>
    </row>
    <row r="60" spans="1:29" ht="15">
      <c r="A60" s="14"/>
      <c r="B60" s="38"/>
      <c r="C60" s="38"/>
      <c r="D60" s="4" t="s">
        <v>34</v>
      </c>
      <c r="E60" s="5"/>
      <c r="F60" s="5"/>
      <c r="G60" s="13" t="s">
        <v>35</v>
      </c>
      <c r="H60" s="1308">
        <f t="shared" si="6"/>
        <v>49.740982835645426</v>
      </c>
      <c r="I60" s="1309"/>
      <c r="J60" s="416"/>
      <c r="K60" s="417"/>
      <c r="L60" s="418"/>
      <c r="M60" s="419"/>
      <c r="N60" s="409"/>
      <c r="O60" s="410"/>
      <c r="P60" s="411"/>
      <c r="Q60" s="413"/>
      <c r="R60" s="414"/>
      <c r="S60" s="415"/>
      <c r="T60" s="415"/>
      <c r="U60" s="415"/>
      <c r="V60" s="925"/>
      <c r="W60" s="679"/>
      <c r="X60" s="680"/>
      <c r="Y60" s="681"/>
      <c r="Z60" s="682"/>
      <c r="AA60" s="683"/>
      <c r="AB60" s="684"/>
      <c r="AC60" s="685"/>
    </row>
    <row r="61" spans="1:29" ht="15">
      <c r="A61" s="14"/>
      <c r="B61" s="38"/>
      <c r="C61" s="38"/>
      <c r="D61" s="4" t="s">
        <v>3</v>
      </c>
      <c r="E61" s="5"/>
      <c r="F61" s="5"/>
      <c r="G61" s="13" t="s">
        <v>35</v>
      </c>
      <c r="H61" s="1327" t="s">
        <v>77</v>
      </c>
      <c r="I61" s="1309"/>
      <c r="J61" s="428"/>
      <c r="K61" s="429"/>
      <c r="L61" s="430"/>
      <c r="M61" s="431"/>
      <c r="N61" s="421"/>
      <c r="O61" s="422"/>
      <c r="P61" s="423"/>
      <c r="Q61" s="425"/>
      <c r="R61" s="426"/>
      <c r="S61" s="427"/>
      <c r="T61" s="427"/>
      <c r="U61" s="427"/>
      <c r="V61" s="933"/>
      <c r="W61" s="687"/>
      <c r="X61" s="688"/>
      <c r="Y61" s="689"/>
      <c r="Z61" s="690"/>
      <c r="AA61" s="691"/>
      <c r="AB61" s="692"/>
      <c r="AC61" s="693"/>
    </row>
    <row r="62" spans="1:29" ht="15">
      <c r="A62" s="14"/>
      <c r="B62" s="38"/>
      <c r="C62" s="38"/>
      <c r="D62" s="4" t="s">
        <v>4</v>
      </c>
      <c r="E62" s="5"/>
      <c r="F62" s="5"/>
      <c r="G62" s="13" t="s">
        <v>35</v>
      </c>
      <c r="H62" s="1327" t="s">
        <v>77</v>
      </c>
      <c r="I62" s="1309"/>
      <c r="J62" s="440"/>
      <c r="K62" s="441"/>
      <c r="L62" s="442"/>
      <c r="M62" s="443"/>
      <c r="N62" s="433"/>
      <c r="O62" s="434"/>
      <c r="P62" s="435"/>
      <c r="Q62" s="437"/>
      <c r="R62" s="438"/>
      <c r="S62" s="439"/>
      <c r="T62" s="439"/>
      <c r="U62" s="439"/>
      <c r="V62" s="941"/>
      <c r="W62" s="695"/>
      <c r="X62" s="696"/>
      <c r="Y62" s="697"/>
      <c r="Z62" s="698"/>
      <c r="AA62" s="699"/>
      <c r="AB62" s="700"/>
      <c r="AC62" s="701"/>
    </row>
    <row r="63" spans="1:29" ht="15">
      <c r="A63" s="14"/>
      <c r="B63" s="38"/>
      <c r="C63" s="38"/>
      <c r="D63" s="4" t="s">
        <v>8</v>
      </c>
      <c r="E63" s="5"/>
      <c r="F63" s="5"/>
      <c r="G63" s="13" t="s">
        <v>35</v>
      </c>
      <c r="H63" s="1308">
        <f t="shared" si="6"/>
        <v>46.214634824114029</v>
      </c>
      <c r="I63" s="1309"/>
      <c r="J63" s="452"/>
      <c r="K63" s="453"/>
      <c r="L63" s="454"/>
      <c r="M63" s="455"/>
      <c r="N63" s="445"/>
      <c r="O63" s="446"/>
      <c r="P63" s="447"/>
      <c r="Q63" s="449"/>
      <c r="R63" s="450"/>
      <c r="S63" s="451"/>
      <c r="T63" s="451"/>
      <c r="U63" s="451"/>
      <c r="V63" s="949"/>
      <c r="W63" s="703"/>
      <c r="X63" s="704"/>
      <c r="Y63" s="705"/>
      <c r="Z63" s="706"/>
      <c r="AA63" s="707"/>
      <c r="AB63" s="708"/>
      <c r="AC63" s="709"/>
    </row>
    <row r="64" spans="1:29" ht="15">
      <c r="A64" s="14"/>
      <c r="B64" s="38"/>
      <c r="C64" s="38"/>
      <c r="D64" s="4" t="s">
        <v>9</v>
      </c>
      <c r="E64" s="5"/>
      <c r="F64" s="5"/>
      <c r="G64" s="13" t="s">
        <v>35</v>
      </c>
      <c r="H64" s="1327" t="s">
        <v>77</v>
      </c>
      <c r="I64" s="1309"/>
      <c r="J64" s="464"/>
      <c r="K64" s="465"/>
      <c r="L64" s="466"/>
      <c r="M64" s="467"/>
      <c r="N64" s="457"/>
      <c r="O64" s="458"/>
      <c r="P64" s="459"/>
      <c r="Q64" s="461"/>
      <c r="R64" s="462"/>
      <c r="S64" s="463"/>
      <c r="T64" s="463"/>
      <c r="U64" s="463"/>
      <c r="V64" s="957"/>
      <c r="W64" s="711"/>
      <c r="X64" s="712"/>
      <c r="Y64" s="713"/>
      <c r="Z64" s="714"/>
      <c r="AA64" s="715"/>
      <c r="AB64" s="716"/>
      <c r="AC64" s="717"/>
    </row>
    <row r="65" spans="1:29" ht="15">
      <c r="A65" s="14"/>
      <c r="B65" s="38"/>
      <c r="C65" s="38"/>
      <c r="D65" s="4" t="s">
        <v>10</v>
      </c>
      <c r="E65" s="5"/>
      <c r="F65" s="5"/>
      <c r="G65" s="13" t="s">
        <v>35</v>
      </c>
      <c r="H65" s="1327" t="s">
        <v>77</v>
      </c>
      <c r="I65" s="1309"/>
      <c r="J65" s="476"/>
      <c r="K65" s="477"/>
      <c r="L65" s="478"/>
      <c r="M65" s="479"/>
      <c r="N65" s="469"/>
      <c r="O65" s="470"/>
      <c r="P65" s="471"/>
      <c r="Q65" s="473"/>
      <c r="R65" s="474"/>
      <c r="S65" s="475"/>
      <c r="T65" s="475"/>
      <c r="U65" s="475"/>
      <c r="V65" s="965"/>
      <c r="W65" s="719"/>
      <c r="X65" s="720"/>
      <c r="Y65" s="721"/>
      <c r="Z65" s="722"/>
      <c r="AA65" s="723"/>
      <c r="AB65" s="724"/>
      <c r="AC65" s="725"/>
    </row>
    <row r="66" spans="1:29" ht="15.75" thickBot="1">
      <c r="A66" s="40"/>
      <c r="B66" s="41"/>
      <c r="C66" s="41"/>
      <c r="D66" s="34" t="s">
        <v>15</v>
      </c>
      <c r="E66" s="43"/>
      <c r="F66" s="43"/>
      <c r="G66" s="44" t="s">
        <v>35</v>
      </c>
      <c r="H66" s="1323">
        <f t="shared" si="6"/>
        <v>91.228748429648249</v>
      </c>
      <c r="I66" s="1324"/>
      <c r="J66" s="488"/>
      <c r="K66" s="489"/>
      <c r="L66" s="490"/>
      <c r="M66" s="491"/>
      <c r="N66" s="481"/>
      <c r="O66" s="482"/>
      <c r="P66" s="483"/>
      <c r="Q66" s="485"/>
      <c r="R66" s="486"/>
      <c r="S66" s="487"/>
      <c r="T66" s="487"/>
      <c r="U66" s="487"/>
      <c r="V66" s="973"/>
      <c r="W66" s="727"/>
      <c r="X66" s="728"/>
      <c r="Y66" s="729"/>
      <c r="Z66" s="730"/>
      <c r="AA66" s="731"/>
      <c r="AB66" s="732"/>
      <c r="AC66" s="733"/>
    </row>
    <row r="67" spans="1:29" ht="15" customHeight="1">
      <c r="A67" s="1294" t="s">
        <v>91</v>
      </c>
      <c r="B67" s="1318"/>
      <c r="C67" s="1318"/>
      <c r="D67" s="1318"/>
      <c r="E67" s="1318"/>
      <c r="F67" s="1318"/>
      <c r="G67" s="1318"/>
      <c r="H67" s="1318"/>
      <c r="I67" s="1318"/>
      <c r="J67" s="1318"/>
      <c r="K67" s="1318"/>
      <c r="L67" s="1318"/>
      <c r="M67" s="1318"/>
      <c r="N67" s="1318"/>
      <c r="O67" s="1318"/>
      <c r="P67" s="1318"/>
      <c r="Q67" s="1318"/>
      <c r="R67" s="1318"/>
      <c r="S67" s="1318"/>
      <c r="T67" s="1318"/>
      <c r="U67" s="1318"/>
      <c r="V67" s="1318"/>
      <c r="W67" s="1318"/>
      <c r="X67" s="1318"/>
      <c r="Y67" s="1318"/>
      <c r="Z67" s="1318"/>
      <c r="AA67" s="1318"/>
      <c r="AB67" s="1318"/>
      <c r="AC67" s="1318"/>
    </row>
    <row r="68" spans="1:29" ht="15" customHeight="1">
      <c r="A68" s="1318"/>
      <c r="B68" s="1318"/>
      <c r="C68" s="1318"/>
      <c r="D68" s="1318"/>
      <c r="E68" s="1318"/>
      <c r="F68" s="1318"/>
      <c r="G68" s="1318"/>
      <c r="H68" s="1318"/>
      <c r="I68" s="1318"/>
      <c r="J68" s="1318"/>
      <c r="K68" s="1318"/>
      <c r="L68" s="1318"/>
      <c r="M68" s="1318"/>
      <c r="N68" s="1318"/>
      <c r="O68" s="1318"/>
      <c r="P68" s="1318"/>
      <c r="Q68" s="1318"/>
      <c r="R68" s="1318"/>
      <c r="S68" s="1318"/>
      <c r="T68" s="1318"/>
      <c r="U68" s="1318"/>
      <c r="V68" s="1318"/>
      <c r="W68" s="1318"/>
      <c r="X68" s="1318"/>
      <c r="Y68" s="1318"/>
      <c r="Z68" s="1318"/>
      <c r="AA68" s="1318"/>
      <c r="AB68" s="1318"/>
      <c r="AC68" s="1318"/>
    </row>
  </sheetData>
  <mergeCells count="36">
    <mergeCell ref="H37:I37"/>
    <mergeCell ref="H2:T2"/>
    <mergeCell ref="V2:AC2"/>
    <mergeCell ref="V34:AC34"/>
    <mergeCell ref="H35:I35"/>
    <mergeCell ref="H36:I36"/>
    <mergeCell ref="H63:I63"/>
    <mergeCell ref="H64:I64"/>
    <mergeCell ref="H49:I49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48:I48"/>
    <mergeCell ref="H65:I65"/>
    <mergeCell ref="H66:I66"/>
    <mergeCell ref="A67:AC68"/>
    <mergeCell ref="H61:I61"/>
    <mergeCell ref="H50:I50"/>
    <mergeCell ref="H51:I51"/>
    <mergeCell ref="H52:I52"/>
    <mergeCell ref="H53:I53"/>
    <mergeCell ref="H54:I54"/>
    <mergeCell ref="H55:I55"/>
    <mergeCell ref="H56:I56"/>
    <mergeCell ref="H57:I57"/>
    <mergeCell ref="H58:I58"/>
    <mergeCell ref="H59:I59"/>
    <mergeCell ref="H60:I60"/>
    <mergeCell ref="H62:I62"/>
  </mergeCells>
  <phoneticPr fontId="5"/>
  <pageMargins left="0.70866141732283472" right="0.70866141732283472" top="0.55118110236220474" bottom="0.35433070866141736" header="0.31496062992125984" footer="0.31496062992125984"/>
  <pageSetup paperSize="8" scale="8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68"/>
  <sheetViews>
    <sheetView view="pageBreakPreview" topLeftCell="A52" zoomScaleNormal="100" zoomScaleSheetLayoutView="100" workbookViewId="0">
      <selection activeCell="I9" sqref="I9"/>
    </sheetView>
  </sheetViews>
  <sheetFormatPr defaultRowHeight="11.25"/>
  <cols>
    <col min="1" max="1" width="2.75" style="1" customWidth="1"/>
    <col min="2" max="3" width="6.625" style="1" customWidth="1"/>
    <col min="4" max="4" width="9.875" style="1" customWidth="1"/>
    <col min="5" max="5" width="11.625" style="1" customWidth="1"/>
    <col min="6" max="6" width="13.125" style="1" customWidth="1"/>
    <col min="7" max="7" width="6.125" style="1" customWidth="1"/>
    <col min="8" max="23" width="11" style="1" customWidth="1"/>
    <col min="24" max="16384" width="9" style="1"/>
  </cols>
  <sheetData>
    <row r="1" spans="1:23" ht="29.25" customHeight="1" thickBot="1">
      <c r="A1" s="2" t="s">
        <v>72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3" ht="15">
      <c r="A2" s="10"/>
      <c r="B2" s="11"/>
      <c r="C2" s="11"/>
      <c r="D2" s="11"/>
      <c r="E2" s="11"/>
      <c r="F2" s="11"/>
      <c r="G2" s="11"/>
      <c r="H2" s="1284" t="s">
        <v>38</v>
      </c>
      <c r="I2" s="1285"/>
      <c r="J2" s="1285"/>
      <c r="K2" s="1285"/>
      <c r="L2" s="1285"/>
      <c r="M2" s="1285"/>
      <c r="N2" s="1285"/>
      <c r="O2" s="1311"/>
      <c r="P2" s="1340" t="s">
        <v>39</v>
      </c>
      <c r="Q2" s="1341"/>
      <c r="R2" s="1341"/>
      <c r="S2" s="1341"/>
      <c r="T2" s="1341"/>
      <c r="U2" s="1341"/>
      <c r="V2" s="1341"/>
      <c r="W2" s="1342"/>
    </row>
    <row r="3" spans="1:23" ht="15">
      <c r="A3" s="23"/>
      <c r="B3" s="24"/>
      <c r="C3" s="24"/>
      <c r="D3" s="24"/>
      <c r="E3" s="24"/>
      <c r="F3" s="24"/>
      <c r="G3" s="24"/>
      <c r="H3" s="16" t="s">
        <v>44</v>
      </c>
      <c r="I3" s="17"/>
      <c r="J3" s="17"/>
      <c r="K3" s="17"/>
      <c r="L3" s="26" t="s">
        <v>45</v>
      </c>
      <c r="M3" s="17"/>
      <c r="N3" s="17"/>
      <c r="O3" s="18"/>
      <c r="P3" s="16" t="s">
        <v>44</v>
      </c>
      <c r="Q3" s="17"/>
      <c r="R3" s="17"/>
      <c r="S3" s="17"/>
      <c r="T3" s="26" t="s">
        <v>45</v>
      </c>
      <c r="U3" s="17"/>
      <c r="V3" s="17"/>
      <c r="W3" s="18"/>
    </row>
    <row r="4" spans="1:23" ht="15.75" thickBot="1">
      <c r="A4" s="23"/>
      <c r="B4" s="24"/>
      <c r="C4" s="24"/>
      <c r="D4" s="24"/>
      <c r="E4" s="24"/>
      <c r="F4" s="24"/>
      <c r="G4" s="24"/>
      <c r="H4" s="492" t="s">
        <v>30</v>
      </c>
      <c r="I4" s="1088" t="s">
        <v>46</v>
      </c>
      <c r="J4" s="1088" t="s">
        <v>47</v>
      </c>
      <c r="K4" s="1088" t="s">
        <v>48</v>
      </c>
      <c r="L4" s="58" t="s">
        <v>30</v>
      </c>
      <c r="M4" s="1088" t="s">
        <v>49</v>
      </c>
      <c r="N4" s="1088" t="s">
        <v>50</v>
      </c>
      <c r="O4" s="1089" t="s">
        <v>51</v>
      </c>
      <c r="P4" s="492" t="s">
        <v>30</v>
      </c>
      <c r="Q4" s="1088" t="s">
        <v>46</v>
      </c>
      <c r="R4" s="1088" t="s">
        <v>47</v>
      </c>
      <c r="S4" s="1088" t="s">
        <v>48</v>
      </c>
      <c r="T4" s="58" t="s">
        <v>30</v>
      </c>
      <c r="U4" s="1088" t="s">
        <v>49</v>
      </c>
      <c r="V4" s="1088" t="s">
        <v>50</v>
      </c>
      <c r="W4" s="1089" t="s">
        <v>51</v>
      </c>
    </row>
    <row r="5" spans="1:23" ht="15">
      <c r="A5" s="1299" t="s">
        <v>20</v>
      </c>
      <c r="B5" s="1300"/>
      <c r="C5" s="1301"/>
      <c r="D5" s="1093" t="s">
        <v>16</v>
      </c>
      <c r="E5" s="1094"/>
      <c r="F5" s="1094"/>
      <c r="G5" s="1095" t="s">
        <v>37</v>
      </c>
      <c r="H5" s="1096">
        <v>6138</v>
      </c>
      <c r="I5" s="1097">
        <v>1906</v>
      </c>
      <c r="J5" s="1097">
        <v>1969</v>
      </c>
      <c r="K5" s="1097">
        <v>2263</v>
      </c>
      <c r="L5" s="1098">
        <v>7501</v>
      </c>
      <c r="M5" s="1098">
        <v>2415</v>
      </c>
      <c r="N5" s="1098">
        <v>2493</v>
      </c>
      <c r="O5" s="1099">
        <v>2593</v>
      </c>
      <c r="P5" s="1096">
        <v>7305</v>
      </c>
      <c r="Q5" s="1097">
        <v>2063</v>
      </c>
      <c r="R5" s="1097">
        <v>2434</v>
      </c>
      <c r="S5" s="1097">
        <v>2808</v>
      </c>
      <c r="T5" s="1098">
        <v>7740</v>
      </c>
      <c r="U5" s="1098">
        <v>2520</v>
      </c>
      <c r="V5" s="1098">
        <v>2580</v>
      </c>
      <c r="W5" s="1099">
        <v>2640</v>
      </c>
    </row>
    <row r="6" spans="1:23" ht="15">
      <c r="A6" s="1302"/>
      <c r="B6" s="1303"/>
      <c r="C6" s="1304"/>
      <c r="D6" s="1118" t="s">
        <v>21</v>
      </c>
      <c r="E6" s="1123"/>
      <c r="F6" s="1123"/>
      <c r="G6" s="1124" t="s">
        <v>37</v>
      </c>
      <c r="H6" s="1009">
        <v>3706</v>
      </c>
      <c r="I6" s="1010">
        <v>1297</v>
      </c>
      <c r="J6" s="1010">
        <v>1221</v>
      </c>
      <c r="K6" s="1010">
        <v>1188</v>
      </c>
      <c r="L6" s="1011">
        <v>3462</v>
      </c>
      <c r="M6" s="1011">
        <v>1127</v>
      </c>
      <c r="N6" s="1011">
        <v>1174</v>
      </c>
      <c r="O6" s="1079">
        <v>1161</v>
      </c>
      <c r="P6" s="1009">
        <v>4295</v>
      </c>
      <c r="Q6" s="1010">
        <v>1412</v>
      </c>
      <c r="R6" s="1010">
        <v>1431</v>
      </c>
      <c r="S6" s="1010">
        <v>1452</v>
      </c>
      <c r="T6" s="1011">
        <v>4104</v>
      </c>
      <c r="U6" s="1011">
        <v>1308</v>
      </c>
      <c r="V6" s="1011">
        <v>1368</v>
      </c>
      <c r="W6" s="1079">
        <v>1428</v>
      </c>
    </row>
    <row r="7" spans="1:23" ht="15">
      <c r="A7" s="1302"/>
      <c r="B7" s="1303"/>
      <c r="C7" s="1304"/>
      <c r="D7" s="4" t="s">
        <v>42</v>
      </c>
      <c r="E7" s="5"/>
      <c r="F7" s="5"/>
      <c r="G7" s="13" t="s">
        <v>37</v>
      </c>
      <c r="H7" s="1014">
        <v>788</v>
      </c>
      <c r="I7" s="1015">
        <v>4</v>
      </c>
      <c r="J7" s="1015">
        <v>207</v>
      </c>
      <c r="K7" s="1015">
        <v>577</v>
      </c>
      <c r="L7" s="1016">
        <v>2124</v>
      </c>
      <c r="M7" s="1016">
        <v>696</v>
      </c>
      <c r="N7" s="1016">
        <v>693</v>
      </c>
      <c r="O7" s="1017">
        <v>735</v>
      </c>
      <c r="P7" s="1014">
        <v>1082</v>
      </c>
      <c r="Q7" s="1015">
        <v>12</v>
      </c>
      <c r="R7" s="1015">
        <v>361</v>
      </c>
      <c r="S7" s="1015">
        <v>709</v>
      </c>
      <c r="T7" s="1016">
        <v>2160</v>
      </c>
      <c r="U7" s="1016">
        <v>720</v>
      </c>
      <c r="V7" s="1016">
        <v>720</v>
      </c>
      <c r="W7" s="1017">
        <v>720</v>
      </c>
    </row>
    <row r="8" spans="1:23" ht="15">
      <c r="A8" s="1302"/>
      <c r="B8" s="1303"/>
      <c r="C8" s="1304"/>
      <c r="D8" s="4" t="s">
        <v>22</v>
      </c>
      <c r="E8" s="5"/>
      <c r="F8" s="5"/>
      <c r="G8" s="13" t="s">
        <v>37</v>
      </c>
      <c r="H8" s="1014">
        <v>1444</v>
      </c>
      <c r="I8" s="1015">
        <v>525</v>
      </c>
      <c r="J8" s="1015">
        <v>473</v>
      </c>
      <c r="K8" s="1015">
        <v>446</v>
      </c>
      <c r="L8" s="1016">
        <v>1637</v>
      </c>
      <c r="M8" s="1016">
        <v>524</v>
      </c>
      <c r="N8" s="1016">
        <v>535</v>
      </c>
      <c r="O8" s="1017">
        <v>578</v>
      </c>
      <c r="P8" s="1014">
        <v>1703</v>
      </c>
      <c r="Q8" s="1015">
        <v>565</v>
      </c>
      <c r="R8" s="1015">
        <v>567</v>
      </c>
      <c r="S8" s="1015">
        <v>571</v>
      </c>
      <c r="T8" s="1016">
        <v>1368</v>
      </c>
      <c r="U8" s="1016">
        <v>456</v>
      </c>
      <c r="V8" s="1016">
        <v>456</v>
      </c>
      <c r="W8" s="1017">
        <v>456</v>
      </c>
    </row>
    <row r="9" spans="1:23" ht="15.75" thickBot="1">
      <c r="A9" s="1305"/>
      <c r="B9" s="1306"/>
      <c r="C9" s="1307"/>
      <c r="D9" s="34" t="s">
        <v>23</v>
      </c>
      <c r="E9" s="43"/>
      <c r="F9" s="43"/>
      <c r="G9" s="44" t="s">
        <v>37</v>
      </c>
      <c r="H9" s="1020">
        <v>200</v>
      </c>
      <c r="I9" s="1021">
        <v>80</v>
      </c>
      <c r="J9" s="1021">
        <v>68</v>
      </c>
      <c r="K9" s="1021">
        <v>52</v>
      </c>
      <c r="L9" s="1022">
        <v>297</v>
      </c>
      <c r="M9" s="1022">
        <v>68</v>
      </c>
      <c r="N9" s="1022">
        <v>99</v>
      </c>
      <c r="O9" s="1023">
        <v>130</v>
      </c>
      <c r="P9" s="1020">
        <v>225</v>
      </c>
      <c r="Q9" s="1021">
        <v>74</v>
      </c>
      <c r="R9" s="1021">
        <v>75</v>
      </c>
      <c r="S9" s="1021">
        <v>76</v>
      </c>
      <c r="T9" s="1022">
        <v>108</v>
      </c>
      <c r="U9" s="1022">
        <v>36</v>
      </c>
      <c r="V9" s="1022">
        <v>36</v>
      </c>
      <c r="W9" s="1023">
        <v>36</v>
      </c>
    </row>
    <row r="10" spans="1:23" ht="15">
      <c r="A10" s="1299" t="s">
        <v>2</v>
      </c>
      <c r="B10" s="1300"/>
      <c r="C10" s="1301"/>
      <c r="D10" s="1093" t="s">
        <v>16</v>
      </c>
      <c r="E10" s="1094"/>
      <c r="F10" s="1094"/>
      <c r="G10" s="1095" t="s">
        <v>37</v>
      </c>
      <c r="H10" s="1096">
        <v>1961</v>
      </c>
      <c r="I10" s="1097">
        <v>673</v>
      </c>
      <c r="J10" s="1097">
        <v>619</v>
      </c>
      <c r="K10" s="1097">
        <v>669</v>
      </c>
      <c r="L10" s="1098">
        <v>1991</v>
      </c>
      <c r="M10" s="1098">
        <v>666</v>
      </c>
      <c r="N10" s="1098">
        <v>665</v>
      </c>
      <c r="O10" s="1099">
        <v>660</v>
      </c>
      <c r="P10" s="1096">
        <v>1906</v>
      </c>
      <c r="Q10" s="1097">
        <v>646</v>
      </c>
      <c r="R10" s="1097">
        <v>632</v>
      </c>
      <c r="S10" s="1097">
        <v>628</v>
      </c>
      <c r="T10" s="1098">
        <v>2148</v>
      </c>
      <c r="U10" s="1098">
        <v>684</v>
      </c>
      <c r="V10" s="1098">
        <v>708</v>
      </c>
      <c r="W10" s="1099">
        <v>756</v>
      </c>
    </row>
    <row r="11" spans="1:23" ht="15">
      <c r="A11" s="1302"/>
      <c r="B11" s="1303"/>
      <c r="C11" s="1304"/>
      <c r="D11" s="1100" t="s">
        <v>17</v>
      </c>
      <c r="E11" s="37"/>
      <c r="F11" s="37"/>
      <c r="G11" s="1101" t="s">
        <v>37</v>
      </c>
      <c r="H11" s="1009">
        <v>84</v>
      </c>
      <c r="I11" s="1010">
        <v>24</v>
      </c>
      <c r="J11" s="1010">
        <v>24</v>
      </c>
      <c r="K11" s="1010">
        <v>36</v>
      </c>
      <c r="L11" s="1011">
        <v>75</v>
      </c>
      <c r="M11" s="1011">
        <v>34</v>
      </c>
      <c r="N11" s="1011">
        <v>27</v>
      </c>
      <c r="O11" s="1079">
        <v>14</v>
      </c>
      <c r="P11" s="1009">
        <v>126</v>
      </c>
      <c r="Q11" s="1010">
        <v>40</v>
      </c>
      <c r="R11" s="1010">
        <v>42</v>
      </c>
      <c r="S11" s="1010">
        <v>44</v>
      </c>
      <c r="T11" s="1011">
        <v>144</v>
      </c>
      <c r="U11" s="1011">
        <v>36</v>
      </c>
      <c r="V11" s="1011">
        <v>48</v>
      </c>
      <c r="W11" s="1079">
        <v>60</v>
      </c>
    </row>
    <row r="12" spans="1:23" ht="15">
      <c r="A12" s="1302"/>
      <c r="B12" s="1303"/>
      <c r="C12" s="1304"/>
      <c r="D12" s="4" t="s">
        <v>19</v>
      </c>
      <c r="E12" s="5"/>
      <c r="F12" s="5"/>
      <c r="G12" s="13" t="s">
        <v>37</v>
      </c>
      <c r="H12" s="1014">
        <v>0</v>
      </c>
      <c r="I12" s="1015">
        <v>0</v>
      </c>
      <c r="J12" s="1015">
        <v>0</v>
      </c>
      <c r="K12" s="1015">
        <v>0</v>
      </c>
      <c r="L12" s="1016">
        <v>0</v>
      </c>
      <c r="M12" s="1016">
        <v>0</v>
      </c>
      <c r="N12" s="1016">
        <v>0</v>
      </c>
      <c r="O12" s="1017">
        <v>0</v>
      </c>
      <c r="P12" s="1014">
        <v>0</v>
      </c>
      <c r="Q12" s="1015">
        <v>0</v>
      </c>
      <c r="R12" s="1015">
        <v>0</v>
      </c>
      <c r="S12" s="1015">
        <v>0</v>
      </c>
      <c r="T12" s="1016">
        <v>0</v>
      </c>
      <c r="U12" s="1016">
        <v>0</v>
      </c>
      <c r="V12" s="1016">
        <v>0</v>
      </c>
      <c r="W12" s="1017">
        <v>0</v>
      </c>
    </row>
    <row r="13" spans="1:23" ht="15.75" thickBot="1">
      <c r="A13" s="1305"/>
      <c r="B13" s="1306"/>
      <c r="C13" s="1307"/>
      <c r="D13" s="34" t="s">
        <v>18</v>
      </c>
      <c r="E13" s="43"/>
      <c r="F13" s="43"/>
      <c r="G13" s="44" t="s">
        <v>37</v>
      </c>
      <c r="H13" s="1020">
        <v>1877</v>
      </c>
      <c r="I13" s="1021">
        <v>649</v>
      </c>
      <c r="J13" s="1021">
        <v>595</v>
      </c>
      <c r="K13" s="1021">
        <v>633</v>
      </c>
      <c r="L13" s="1022">
        <v>1916</v>
      </c>
      <c r="M13" s="1022">
        <v>632</v>
      </c>
      <c r="N13" s="1022">
        <v>638</v>
      </c>
      <c r="O13" s="1023">
        <v>646</v>
      </c>
      <c r="P13" s="1020">
        <v>1780</v>
      </c>
      <c r="Q13" s="1021">
        <v>606</v>
      </c>
      <c r="R13" s="1021">
        <v>590</v>
      </c>
      <c r="S13" s="1021">
        <v>584</v>
      </c>
      <c r="T13" s="1022">
        <v>2004</v>
      </c>
      <c r="U13" s="1022">
        <v>648</v>
      </c>
      <c r="V13" s="1022">
        <v>660</v>
      </c>
      <c r="W13" s="1023">
        <v>696</v>
      </c>
    </row>
    <row r="14" spans="1:23" ht="15">
      <c r="A14" s="29" t="s">
        <v>1</v>
      </c>
      <c r="B14" s="8"/>
      <c r="C14" s="9"/>
      <c r="D14" s="1100" t="s">
        <v>25</v>
      </c>
      <c r="E14" s="37"/>
      <c r="F14" s="37"/>
      <c r="G14" s="1101" t="s">
        <v>37</v>
      </c>
      <c r="H14" s="1009">
        <v>7742</v>
      </c>
      <c r="I14" s="1010">
        <v>2536</v>
      </c>
      <c r="J14" s="1010">
        <v>2661</v>
      </c>
      <c r="K14" s="1010">
        <v>2545</v>
      </c>
      <c r="L14" s="1011">
        <v>7210</v>
      </c>
      <c r="M14" s="1012">
        <v>2591</v>
      </c>
      <c r="N14" s="1011">
        <v>2374</v>
      </c>
      <c r="O14" s="1013">
        <v>2245</v>
      </c>
      <c r="P14" s="1009">
        <v>6858</v>
      </c>
      <c r="Q14" s="1010">
        <v>2367</v>
      </c>
      <c r="R14" s="1010">
        <v>2214</v>
      </c>
      <c r="S14" s="1010">
        <v>2277</v>
      </c>
      <c r="T14" s="1011">
        <v>8976</v>
      </c>
      <c r="U14" s="1012">
        <v>3036</v>
      </c>
      <c r="V14" s="1011">
        <v>3168</v>
      </c>
      <c r="W14" s="1013">
        <v>2772</v>
      </c>
    </row>
    <row r="15" spans="1:23" ht="15">
      <c r="A15" s="29"/>
      <c r="B15" s="8"/>
      <c r="C15" s="9"/>
      <c r="D15" s="4" t="s">
        <v>26</v>
      </c>
      <c r="E15" s="5"/>
      <c r="F15" s="5"/>
      <c r="G15" s="13" t="s">
        <v>37</v>
      </c>
      <c r="H15" s="1014">
        <v>798</v>
      </c>
      <c r="I15" s="1015">
        <v>294</v>
      </c>
      <c r="J15" s="1015">
        <v>284</v>
      </c>
      <c r="K15" s="1015">
        <v>220</v>
      </c>
      <c r="L15" s="1016">
        <v>663</v>
      </c>
      <c r="M15" s="1016">
        <v>232</v>
      </c>
      <c r="N15" s="1016">
        <v>235</v>
      </c>
      <c r="O15" s="1017">
        <v>196</v>
      </c>
      <c r="P15" s="1014">
        <v>858</v>
      </c>
      <c r="Q15" s="1015">
        <v>275</v>
      </c>
      <c r="R15" s="1015">
        <v>286</v>
      </c>
      <c r="S15" s="1015">
        <v>297</v>
      </c>
      <c r="T15" s="1016">
        <v>612</v>
      </c>
      <c r="U15" s="1016">
        <v>204</v>
      </c>
      <c r="V15" s="1016">
        <v>204</v>
      </c>
      <c r="W15" s="1017">
        <v>204</v>
      </c>
    </row>
    <row r="16" spans="1:23" ht="15">
      <c r="A16" s="29"/>
      <c r="B16" s="8"/>
      <c r="C16" s="9"/>
      <c r="D16" s="4" t="s">
        <v>27</v>
      </c>
      <c r="E16" s="5"/>
      <c r="F16" s="5"/>
      <c r="G16" s="13" t="s">
        <v>37</v>
      </c>
      <c r="H16" s="1014">
        <v>3008</v>
      </c>
      <c r="I16" s="1015">
        <v>1100</v>
      </c>
      <c r="J16" s="1015">
        <v>1012</v>
      </c>
      <c r="K16" s="1015">
        <v>896</v>
      </c>
      <c r="L16" s="1016">
        <v>2419</v>
      </c>
      <c r="M16" s="1016">
        <v>868</v>
      </c>
      <c r="N16" s="1016">
        <v>767</v>
      </c>
      <c r="O16" s="1017">
        <v>784</v>
      </c>
      <c r="P16" s="1014">
        <v>2798</v>
      </c>
      <c r="Q16" s="1015">
        <v>1052</v>
      </c>
      <c r="R16" s="1015">
        <v>821</v>
      </c>
      <c r="S16" s="1015">
        <v>925</v>
      </c>
      <c r="T16" s="1016">
        <v>2808</v>
      </c>
      <c r="U16" s="1016">
        <v>888</v>
      </c>
      <c r="V16" s="1016">
        <v>912</v>
      </c>
      <c r="W16" s="1017">
        <v>1008</v>
      </c>
    </row>
    <row r="17" spans="1:23" ht="15">
      <c r="A17" s="29"/>
      <c r="B17" s="8"/>
      <c r="C17" s="9"/>
      <c r="D17" s="4" t="s">
        <v>28</v>
      </c>
      <c r="E17" s="5"/>
      <c r="F17" s="5"/>
      <c r="G17" s="13" t="s">
        <v>37</v>
      </c>
      <c r="H17" s="1014">
        <v>137</v>
      </c>
      <c r="I17" s="1015">
        <v>48</v>
      </c>
      <c r="J17" s="1015">
        <v>41</v>
      </c>
      <c r="K17" s="1015">
        <v>48</v>
      </c>
      <c r="L17" s="1016">
        <v>120</v>
      </c>
      <c r="M17" s="1016">
        <v>51</v>
      </c>
      <c r="N17" s="1016">
        <v>39</v>
      </c>
      <c r="O17" s="1017">
        <v>30</v>
      </c>
      <c r="P17" s="1014">
        <v>178</v>
      </c>
      <c r="Q17" s="1015">
        <v>60</v>
      </c>
      <c r="R17" s="1015">
        <v>59</v>
      </c>
      <c r="S17" s="1015">
        <v>59</v>
      </c>
      <c r="T17" s="1016">
        <v>288</v>
      </c>
      <c r="U17" s="1016">
        <v>72</v>
      </c>
      <c r="V17" s="1016">
        <v>96</v>
      </c>
      <c r="W17" s="1017">
        <v>120</v>
      </c>
    </row>
    <row r="18" spans="1:23" ht="15">
      <c r="A18" s="29"/>
      <c r="B18" s="8"/>
      <c r="C18" s="9"/>
      <c r="D18" s="4" t="s">
        <v>29</v>
      </c>
      <c r="E18" s="5"/>
      <c r="F18" s="5"/>
      <c r="G18" s="13" t="s">
        <v>37</v>
      </c>
      <c r="H18" s="1014">
        <v>3242</v>
      </c>
      <c r="I18" s="1015">
        <v>1115</v>
      </c>
      <c r="J18" s="1015">
        <v>1130</v>
      </c>
      <c r="K18" s="1015">
        <v>997</v>
      </c>
      <c r="L18" s="1016">
        <v>2631</v>
      </c>
      <c r="M18" s="1016">
        <v>967</v>
      </c>
      <c r="N18" s="1016">
        <v>878</v>
      </c>
      <c r="O18" s="1017">
        <v>786</v>
      </c>
      <c r="P18" s="1014">
        <v>2896</v>
      </c>
      <c r="Q18" s="1015">
        <v>921</v>
      </c>
      <c r="R18" s="1015">
        <v>965</v>
      </c>
      <c r="S18" s="1015">
        <v>1010</v>
      </c>
      <c r="T18" s="1016">
        <v>3324</v>
      </c>
      <c r="U18" s="1016">
        <v>1080</v>
      </c>
      <c r="V18" s="1016">
        <v>1104</v>
      </c>
      <c r="W18" s="1017">
        <v>1140</v>
      </c>
    </row>
    <row r="19" spans="1:23" ht="15">
      <c r="A19" s="29"/>
      <c r="B19" s="8"/>
      <c r="C19" s="9"/>
      <c r="D19" s="4" t="s">
        <v>5</v>
      </c>
      <c r="E19" s="5"/>
      <c r="F19" s="5"/>
      <c r="G19" s="13" t="s">
        <v>37</v>
      </c>
      <c r="H19" s="1014">
        <v>20924</v>
      </c>
      <c r="I19" s="1015">
        <v>6937</v>
      </c>
      <c r="J19" s="1015">
        <v>7061</v>
      </c>
      <c r="K19" s="1015">
        <v>6926</v>
      </c>
      <c r="L19" s="1016">
        <v>17144</v>
      </c>
      <c r="M19" s="1016">
        <v>6637</v>
      </c>
      <c r="N19" s="1016">
        <v>5926</v>
      </c>
      <c r="O19" s="1017">
        <v>4581</v>
      </c>
      <c r="P19" s="1014">
        <v>21480</v>
      </c>
      <c r="Q19" s="1015">
        <v>6880</v>
      </c>
      <c r="R19" s="1015">
        <v>7160</v>
      </c>
      <c r="S19" s="1015">
        <v>7440</v>
      </c>
      <c r="T19" s="1016">
        <v>21408</v>
      </c>
      <c r="U19" s="1016">
        <v>7488</v>
      </c>
      <c r="V19" s="1016">
        <v>7740</v>
      </c>
      <c r="W19" s="1017">
        <v>6180</v>
      </c>
    </row>
    <row r="20" spans="1:23" ht="15">
      <c r="A20" s="29"/>
      <c r="B20" s="8"/>
      <c r="C20" s="9"/>
      <c r="D20" s="4" t="s">
        <v>6</v>
      </c>
      <c r="E20" s="5"/>
      <c r="F20" s="5"/>
      <c r="G20" s="13" t="s">
        <v>37</v>
      </c>
      <c r="H20" s="1048" t="s">
        <v>52</v>
      </c>
      <c r="I20" s="1049" t="s">
        <v>52</v>
      </c>
      <c r="J20" s="1049" t="s">
        <v>52</v>
      </c>
      <c r="K20" s="1049" t="s">
        <v>52</v>
      </c>
      <c r="L20" s="1016">
        <v>73</v>
      </c>
      <c r="M20" s="1050" t="s">
        <v>52</v>
      </c>
      <c r="N20" s="1016">
        <v>33</v>
      </c>
      <c r="O20" s="1017">
        <v>40</v>
      </c>
      <c r="P20" s="1048" t="s">
        <v>52</v>
      </c>
      <c r="Q20" s="1049" t="s">
        <v>52</v>
      </c>
      <c r="R20" s="1049" t="s">
        <v>52</v>
      </c>
      <c r="S20" s="1049" t="s">
        <v>52</v>
      </c>
      <c r="T20" s="1016">
        <v>0</v>
      </c>
      <c r="U20" s="1016">
        <v>0</v>
      </c>
      <c r="V20" s="1016">
        <v>0</v>
      </c>
      <c r="W20" s="1017">
        <v>0</v>
      </c>
    </row>
    <row r="21" spans="1:23" ht="15">
      <c r="A21" s="29"/>
      <c r="B21" s="8"/>
      <c r="C21" s="9"/>
      <c r="D21" s="4" t="s">
        <v>7</v>
      </c>
      <c r="E21" s="5"/>
      <c r="F21" s="5"/>
      <c r="G21" s="13" t="s">
        <v>37</v>
      </c>
      <c r="H21" s="1014">
        <v>2626</v>
      </c>
      <c r="I21" s="1015">
        <v>832</v>
      </c>
      <c r="J21" s="1015">
        <v>877</v>
      </c>
      <c r="K21" s="1015">
        <v>917</v>
      </c>
      <c r="L21" s="1016">
        <v>3393</v>
      </c>
      <c r="M21" s="1016">
        <v>1019</v>
      </c>
      <c r="N21" s="1016">
        <v>1133</v>
      </c>
      <c r="O21" s="1017">
        <v>1241</v>
      </c>
      <c r="P21" s="1014">
        <v>3269</v>
      </c>
      <c r="Q21" s="1015">
        <v>1049</v>
      </c>
      <c r="R21" s="1015">
        <v>1090</v>
      </c>
      <c r="S21" s="1015">
        <v>1130</v>
      </c>
      <c r="T21" s="1016">
        <v>3312</v>
      </c>
      <c r="U21" s="1016">
        <v>984</v>
      </c>
      <c r="V21" s="1016">
        <v>1104</v>
      </c>
      <c r="W21" s="1017">
        <v>1224</v>
      </c>
    </row>
    <row r="22" spans="1:23" ht="15">
      <c r="A22" s="29"/>
      <c r="B22" s="8"/>
      <c r="C22" s="9"/>
      <c r="D22" s="4" t="s">
        <v>11</v>
      </c>
      <c r="E22" s="5"/>
      <c r="F22" s="5"/>
      <c r="G22" s="13" t="s">
        <v>37</v>
      </c>
      <c r="H22" s="1014">
        <v>2710</v>
      </c>
      <c r="I22" s="1015">
        <v>849</v>
      </c>
      <c r="J22" s="1015">
        <v>895</v>
      </c>
      <c r="K22" s="1015">
        <v>966</v>
      </c>
      <c r="L22" s="1016">
        <v>3076</v>
      </c>
      <c r="M22" s="1016">
        <v>976</v>
      </c>
      <c r="N22" s="1016">
        <v>1090</v>
      </c>
      <c r="O22" s="1017">
        <v>1010</v>
      </c>
      <c r="P22" s="1014">
        <v>2860</v>
      </c>
      <c r="Q22" s="1015">
        <v>803</v>
      </c>
      <c r="R22" s="1015">
        <v>957</v>
      </c>
      <c r="S22" s="1015">
        <v>1100</v>
      </c>
      <c r="T22" s="1016">
        <v>3996</v>
      </c>
      <c r="U22" s="1016">
        <v>1224</v>
      </c>
      <c r="V22" s="1016">
        <v>1332</v>
      </c>
      <c r="W22" s="1017">
        <v>1440</v>
      </c>
    </row>
    <row r="23" spans="1:23" ht="15">
      <c r="A23" s="29"/>
      <c r="B23" s="8"/>
      <c r="C23" s="9"/>
      <c r="D23" s="4" t="s">
        <v>12</v>
      </c>
      <c r="E23" s="5"/>
      <c r="F23" s="5"/>
      <c r="G23" s="13" t="s">
        <v>37</v>
      </c>
      <c r="H23" s="1014">
        <v>380</v>
      </c>
      <c r="I23" s="1015">
        <v>199</v>
      </c>
      <c r="J23" s="1015">
        <v>130</v>
      </c>
      <c r="K23" s="1015">
        <v>51</v>
      </c>
      <c r="L23" s="1016">
        <v>209</v>
      </c>
      <c r="M23" s="1016">
        <v>68</v>
      </c>
      <c r="N23" s="1016">
        <v>60</v>
      </c>
      <c r="O23" s="1017">
        <v>81</v>
      </c>
      <c r="P23" s="1014">
        <v>866</v>
      </c>
      <c r="Q23" s="1015">
        <v>282</v>
      </c>
      <c r="R23" s="1015">
        <v>289</v>
      </c>
      <c r="S23" s="1015">
        <v>295</v>
      </c>
      <c r="T23" s="1016">
        <v>168</v>
      </c>
      <c r="U23" s="1016">
        <v>96</v>
      </c>
      <c r="V23" s="1016">
        <v>36</v>
      </c>
      <c r="W23" s="1017">
        <v>36</v>
      </c>
    </row>
    <row r="24" spans="1:23" ht="15">
      <c r="A24" s="29"/>
      <c r="B24" s="8"/>
      <c r="C24" s="9"/>
      <c r="D24" s="4" t="s">
        <v>13</v>
      </c>
      <c r="E24" s="5"/>
      <c r="F24" s="5"/>
      <c r="G24" s="13" t="s">
        <v>37</v>
      </c>
      <c r="H24" s="1014">
        <v>0</v>
      </c>
      <c r="I24" s="1015">
        <v>0</v>
      </c>
      <c r="J24" s="1015">
        <v>0</v>
      </c>
      <c r="K24" s="1015">
        <v>0</v>
      </c>
      <c r="L24" s="1016">
        <v>0</v>
      </c>
      <c r="M24" s="1016">
        <v>0</v>
      </c>
      <c r="N24" s="1016">
        <v>0</v>
      </c>
      <c r="O24" s="1017">
        <v>0</v>
      </c>
      <c r="P24" s="1014">
        <v>0</v>
      </c>
      <c r="Q24" s="1015">
        <v>0</v>
      </c>
      <c r="R24" s="1015">
        <v>0</v>
      </c>
      <c r="S24" s="1015">
        <v>0</v>
      </c>
      <c r="T24" s="1016">
        <v>0</v>
      </c>
      <c r="U24" s="1016">
        <v>0</v>
      </c>
      <c r="V24" s="1016">
        <v>0</v>
      </c>
      <c r="W24" s="1017">
        <v>0</v>
      </c>
    </row>
    <row r="25" spans="1:23" ht="15">
      <c r="A25" s="29"/>
      <c r="B25" s="8"/>
      <c r="C25" s="9"/>
      <c r="D25" s="4" t="s">
        <v>14</v>
      </c>
      <c r="E25" s="5"/>
      <c r="F25" s="5"/>
      <c r="G25" s="13" t="s">
        <v>37</v>
      </c>
      <c r="H25" s="1014">
        <v>11919</v>
      </c>
      <c r="I25" s="1015">
        <v>3931</v>
      </c>
      <c r="J25" s="1015">
        <v>4064</v>
      </c>
      <c r="K25" s="1015">
        <v>3924</v>
      </c>
      <c r="L25" s="1016">
        <v>12877</v>
      </c>
      <c r="M25" s="1016">
        <v>4309</v>
      </c>
      <c r="N25" s="1016">
        <v>4342</v>
      </c>
      <c r="O25" s="1017">
        <v>4226</v>
      </c>
      <c r="P25" s="1014">
        <v>11872</v>
      </c>
      <c r="Q25" s="1015">
        <v>3791</v>
      </c>
      <c r="R25" s="1015">
        <v>3957</v>
      </c>
      <c r="S25" s="1015">
        <v>4124</v>
      </c>
      <c r="T25" s="1016">
        <v>11760</v>
      </c>
      <c r="U25" s="1016">
        <v>3900</v>
      </c>
      <c r="V25" s="1016">
        <v>3912</v>
      </c>
      <c r="W25" s="1017">
        <v>3948</v>
      </c>
    </row>
    <row r="26" spans="1:23" ht="15">
      <c r="A26" s="29"/>
      <c r="B26" s="8"/>
      <c r="C26" s="9"/>
      <c r="D26" s="4" t="s">
        <v>33</v>
      </c>
      <c r="E26" s="5"/>
      <c r="F26" s="5"/>
      <c r="G26" s="13" t="s">
        <v>37</v>
      </c>
      <c r="H26" s="1014">
        <v>164</v>
      </c>
      <c r="I26" s="1015">
        <v>59</v>
      </c>
      <c r="J26" s="1015">
        <v>47</v>
      </c>
      <c r="K26" s="1015">
        <v>58</v>
      </c>
      <c r="L26" s="1016">
        <v>136</v>
      </c>
      <c r="M26" s="1016">
        <v>52</v>
      </c>
      <c r="N26" s="1016">
        <v>45</v>
      </c>
      <c r="O26" s="1017">
        <v>39</v>
      </c>
      <c r="P26" s="1014">
        <v>193</v>
      </c>
      <c r="Q26" s="1015">
        <v>65</v>
      </c>
      <c r="R26" s="1015">
        <v>64</v>
      </c>
      <c r="S26" s="1015">
        <v>64</v>
      </c>
      <c r="T26" s="1016">
        <v>144</v>
      </c>
      <c r="U26" s="1016">
        <v>48</v>
      </c>
      <c r="V26" s="1016">
        <v>48</v>
      </c>
      <c r="W26" s="1017">
        <v>48</v>
      </c>
    </row>
    <row r="27" spans="1:23" ht="15">
      <c r="A27" s="29"/>
      <c r="B27" s="8"/>
      <c r="C27" s="9"/>
      <c r="D27" s="4" t="s">
        <v>34</v>
      </c>
      <c r="E27" s="5"/>
      <c r="F27" s="5"/>
      <c r="G27" s="13" t="s">
        <v>37</v>
      </c>
      <c r="H27" s="1014">
        <v>64</v>
      </c>
      <c r="I27" s="1015">
        <v>24</v>
      </c>
      <c r="J27" s="1015">
        <v>24</v>
      </c>
      <c r="K27" s="1015">
        <v>16</v>
      </c>
      <c r="L27" s="1016">
        <v>61</v>
      </c>
      <c r="M27" s="1016">
        <v>26</v>
      </c>
      <c r="N27" s="1016">
        <v>17</v>
      </c>
      <c r="O27" s="1017">
        <v>18</v>
      </c>
      <c r="P27" s="1014">
        <v>44</v>
      </c>
      <c r="Q27" s="1015">
        <v>14</v>
      </c>
      <c r="R27" s="1015">
        <v>15</v>
      </c>
      <c r="S27" s="1015">
        <v>15</v>
      </c>
      <c r="T27" s="1016">
        <v>72</v>
      </c>
      <c r="U27" s="1016">
        <v>24</v>
      </c>
      <c r="V27" s="1016">
        <v>24</v>
      </c>
      <c r="W27" s="1017">
        <v>24</v>
      </c>
    </row>
    <row r="28" spans="1:23" ht="15">
      <c r="A28" s="29"/>
      <c r="B28" s="8"/>
      <c r="C28" s="9"/>
      <c r="D28" s="4" t="s">
        <v>3</v>
      </c>
      <c r="E28" s="5"/>
      <c r="F28" s="5"/>
      <c r="G28" s="13" t="s">
        <v>37</v>
      </c>
      <c r="H28" s="1014">
        <v>0</v>
      </c>
      <c r="I28" s="1015">
        <v>0</v>
      </c>
      <c r="J28" s="1015">
        <v>0</v>
      </c>
      <c r="K28" s="1015">
        <v>0</v>
      </c>
      <c r="L28" s="1016">
        <v>0</v>
      </c>
      <c r="M28" s="1016">
        <v>0</v>
      </c>
      <c r="N28" s="1016">
        <v>0</v>
      </c>
      <c r="O28" s="1017">
        <v>0</v>
      </c>
      <c r="P28" s="1014">
        <v>0</v>
      </c>
      <c r="Q28" s="1015">
        <v>0</v>
      </c>
      <c r="R28" s="1015">
        <v>0</v>
      </c>
      <c r="S28" s="1015">
        <v>0</v>
      </c>
      <c r="T28" s="1016">
        <v>0</v>
      </c>
      <c r="U28" s="1016">
        <v>0</v>
      </c>
      <c r="V28" s="1016">
        <v>0</v>
      </c>
      <c r="W28" s="1017">
        <v>0</v>
      </c>
    </row>
    <row r="29" spans="1:23" ht="15">
      <c r="A29" s="29"/>
      <c r="B29" s="8"/>
      <c r="C29" s="9"/>
      <c r="D29" s="4" t="s">
        <v>4</v>
      </c>
      <c r="E29" s="5"/>
      <c r="F29" s="5"/>
      <c r="G29" s="13" t="s">
        <v>37</v>
      </c>
      <c r="H29" s="1014">
        <v>0</v>
      </c>
      <c r="I29" s="1015">
        <v>0</v>
      </c>
      <c r="J29" s="1015">
        <v>0</v>
      </c>
      <c r="K29" s="1015">
        <v>0</v>
      </c>
      <c r="L29" s="1016">
        <v>0</v>
      </c>
      <c r="M29" s="1016">
        <v>0</v>
      </c>
      <c r="N29" s="1016">
        <v>0</v>
      </c>
      <c r="O29" s="1017">
        <v>0</v>
      </c>
      <c r="P29" s="1014">
        <v>0</v>
      </c>
      <c r="Q29" s="1015">
        <v>0</v>
      </c>
      <c r="R29" s="1015">
        <v>0</v>
      </c>
      <c r="S29" s="1015">
        <v>0</v>
      </c>
      <c r="T29" s="1016">
        <v>0</v>
      </c>
      <c r="U29" s="1016">
        <v>0</v>
      </c>
      <c r="V29" s="1016">
        <v>0</v>
      </c>
      <c r="W29" s="1017">
        <v>0</v>
      </c>
    </row>
    <row r="30" spans="1:23" ht="15">
      <c r="A30" s="29"/>
      <c r="B30" s="8"/>
      <c r="C30" s="9"/>
      <c r="D30" s="4" t="s">
        <v>8</v>
      </c>
      <c r="E30" s="5"/>
      <c r="F30" s="5"/>
      <c r="G30" s="13" t="s">
        <v>37</v>
      </c>
      <c r="H30" s="1014">
        <v>1258</v>
      </c>
      <c r="I30" s="1015">
        <v>414</v>
      </c>
      <c r="J30" s="1015">
        <v>430</v>
      </c>
      <c r="K30" s="1015">
        <v>414</v>
      </c>
      <c r="L30" s="1016">
        <v>1071</v>
      </c>
      <c r="M30" s="1016">
        <v>380</v>
      </c>
      <c r="N30" s="1016">
        <v>387</v>
      </c>
      <c r="O30" s="1017">
        <v>304</v>
      </c>
      <c r="P30" s="1014">
        <v>1081</v>
      </c>
      <c r="Q30" s="1015">
        <v>348</v>
      </c>
      <c r="R30" s="1015">
        <v>384</v>
      </c>
      <c r="S30" s="1015">
        <v>349</v>
      </c>
      <c r="T30" s="1016">
        <v>2100</v>
      </c>
      <c r="U30" s="1016">
        <v>636</v>
      </c>
      <c r="V30" s="1016">
        <v>732</v>
      </c>
      <c r="W30" s="1017">
        <v>732</v>
      </c>
    </row>
    <row r="31" spans="1:23" ht="15">
      <c r="A31" s="29"/>
      <c r="B31" s="8"/>
      <c r="C31" s="9"/>
      <c r="D31" s="4" t="s">
        <v>9</v>
      </c>
      <c r="E31" s="5"/>
      <c r="F31" s="5"/>
      <c r="G31" s="13" t="s">
        <v>37</v>
      </c>
      <c r="H31" s="1014">
        <v>0</v>
      </c>
      <c r="I31" s="1015">
        <v>0</v>
      </c>
      <c r="J31" s="1015">
        <v>0</v>
      </c>
      <c r="K31" s="1015">
        <v>0</v>
      </c>
      <c r="L31" s="1016">
        <v>0</v>
      </c>
      <c r="M31" s="1016">
        <v>0</v>
      </c>
      <c r="N31" s="1016">
        <v>0</v>
      </c>
      <c r="O31" s="1017">
        <v>0</v>
      </c>
      <c r="P31" s="1014">
        <v>0</v>
      </c>
      <c r="Q31" s="1015">
        <v>0</v>
      </c>
      <c r="R31" s="1015">
        <v>0</v>
      </c>
      <c r="S31" s="1015">
        <v>0</v>
      </c>
      <c r="T31" s="1016">
        <v>0</v>
      </c>
      <c r="U31" s="1016">
        <v>0</v>
      </c>
      <c r="V31" s="1016">
        <v>0</v>
      </c>
      <c r="W31" s="1017">
        <v>0</v>
      </c>
    </row>
    <row r="32" spans="1:23" ht="15">
      <c r="A32" s="29"/>
      <c r="B32" s="8"/>
      <c r="C32" s="9"/>
      <c r="D32" s="4" t="s">
        <v>10</v>
      </c>
      <c r="E32" s="5"/>
      <c r="F32" s="5"/>
      <c r="G32" s="13" t="s">
        <v>37</v>
      </c>
      <c r="H32" s="1014">
        <v>0</v>
      </c>
      <c r="I32" s="1015">
        <v>0</v>
      </c>
      <c r="J32" s="1015">
        <v>0</v>
      </c>
      <c r="K32" s="1015">
        <v>0</v>
      </c>
      <c r="L32" s="1016">
        <v>0</v>
      </c>
      <c r="M32" s="1016">
        <v>0</v>
      </c>
      <c r="N32" s="1016">
        <v>0</v>
      </c>
      <c r="O32" s="1017">
        <v>0</v>
      </c>
      <c r="P32" s="1014">
        <v>0</v>
      </c>
      <c r="Q32" s="1015">
        <v>0</v>
      </c>
      <c r="R32" s="1015">
        <v>0</v>
      </c>
      <c r="S32" s="1015">
        <v>0</v>
      </c>
      <c r="T32" s="1016">
        <v>0</v>
      </c>
      <c r="U32" s="1016">
        <v>0</v>
      </c>
      <c r="V32" s="1016">
        <v>0</v>
      </c>
      <c r="W32" s="1017">
        <v>0</v>
      </c>
    </row>
    <row r="33" spans="1:23" ht="15.75" thickBot="1">
      <c r="A33" s="31"/>
      <c r="B33" s="32"/>
      <c r="C33" s="33"/>
      <c r="D33" s="34" t="s">
        <v>15</v>
      </c>
      <c r="E33" s="35"/>
      <c r="F33" s="43"/>
      <c r="G33" s="44" t="s">
        <v>37</v>
      </c>
      <c r="H33" s="1020">
        <v>29399</v>
      </c>
      <c r="I33" s="1021">
        <v>9681</v>
      </c>
      <c r="J33" s="1021">
        <v>9836</v>
      </c>
      <c r="K33" s="1021">
        <v>9882</v>
      </c>
      <c r="L33" s="1022">
        <v>27034</v>
      </c>
      <c r="M33" s="1022">
        <v>9718</v>
      </c>
      <c r="N33" s="1022">
        <v>9316</v>
      </c>
      <c r="O33" s="1023">
        <v>8000</v>
      </c>
      <c r="P33" s="1020">
        <v>29862</v>
      </c>
      <c r="Q33" s="1021">
        <v>9561</v>
      </c>
      <c r="R33" s="1021">
        <v>9954</v>
      </c>
      <c r="S33" s="1021">
        <v>10347</v>
      </c>
      <c r="T33" s="1022">
        <v>29844</v>
      </c>
      <c r="U33" s="1022">
        <v>9960</v>
      </c>
      <c r="V33" s="1022">
        <v>10152</v>
      </c>
      <c r="W33" s="1023">
        <v>9732</v>
      </c>
    </row>
    <row r="34" spans="1:23" ht="12" thickBot="1"/>
    <row r="35" spans="1:23" ht="15">
      <c r="A35" s="10"/>
      <c r="B35" s="11"/>
      <c r="C35" s="11"/>
      <c r="D35" s="11"/>
      <c r="E35" s="11"/>
      <c r="F35" s="11"/>
      <c r="G35" s="11"/>
      <c r="H35" s="1292" t="s">
        <v>40</v>
      </c>
      <c r="I35" s="1343"/>
      <c r="J35" s="1343"/>
      <c r="K35" s="1343"/>
      <c r="L35" s="1343"/>
      <c r="M35" s="1343"/>
      <c r="N35" s="1343"/>
      <c r="O35" s="1293"/>
      <c r="P35" s="1330"/>
      <c r="Q35" s="1330"/>
      <c r="R35" s="1330"/>
      <c r="S35" s="1330"/>
      <c r="T35" s="1330"/>
      <c r="U35" s="1330"/>
      <c r="V35" s="1330"/>
      <c r="W35" s="1330"/>
    </row>
    <row r="36" spans="1:23" ht="15">
      <c r="A36" s="23"/>
      <c r="B36" s="24"/>
      <c r="C36" s="24"/>
      <c r="D36" s="24"/>
      <c r="E36" s="24"/>
      <c r="F36" s="24"/>
      <c r="G36" s="24"/>
      <c r="H36" s="16" t="s">
        <v>44</v>
      </c>
      <c r="I36" s="17"/>
      <c r="J36" s="17"/>
      <c r="K36" s="17"/>
      <c r="L36" s="26" t="s">
        <v>45</v>
      </c>
      <c r="M36" s="17"/>
      <c r="N36" s="17"/>
      <c r="O36" s="18"/>
      <c r="P36" s="92"/>
      <c r="Q36" s="93"/>
      <c r="R36" s="93"/>
      <c r="S36" s="93"/>
      <c r="T36" s="92"/>
      <c r="U36" s="93"/>
      <c r="V36" s="93"/>
      <c r="W36" s="93"/>
    </row>
    <row r="37" spans="1:23" ht="15.75" thickBot="1">
      <c r="A37" s="23"/>
      <c r="B37" s="24"/>
      <c r="C37" s="24"/>
      <c r="D37" s="24"/>
      <c r="E37" s="24"/>
      <c r="F37" s="24"/>
      <c r="G37" s="24"/>
      <c r="H37" s="492" t="s">
        <v>30</v>
      </c>
      <c r="I37" s="1088" t="s">
        <v>46</v>
      </c>
      <c r="J37" s="1088" t="s">
        <v>47</v>
      </c>
      <c r="K37" s="1088" t="s">
        <v>48</v>
      </c>
      <c r="L37" s="58" t="s">
        <v>30</v>
      </c>
      <c r="M37" s="1088" t="s">
        <v>49</v>
      </c>
      <c r="N37" s="1088" t="s">
        <v>50</v>
      </c>
      <c r="O37" s="1089" t="s">
        <v>51</v>
      </c>
      <c r="P37" s="92"/>
      <c r="Q37" s="94"/>
      <c r="R37" s="94"/>
      <c r="S37" s="94"/>
      <c r="T37" s="92"/>
      <c r="U37" s="94"/>
      <c r="V37" s="94"/>
      <c r="W37" s="94"/>
    </row>
    <row r="38" spans="1:23" ht="15">
      <c r="A38" s="1299" t="s">
        <v>20</v>
      </c>
      <c r="B38" s="1300"/>
      <c r="C38" s="1301"/>
      <c r="D38" s="1093" t="s">
        <v>16</v>
      </c>
      <c r="E38" s="1094"/>
      <c r="F38" s="1094"/>
      <c r="G38" s="1095" t="s">
        <v>37</v>
      </c>
      <c r="H38" s="1102">
        <v>84</v>
      </c>
      <c r="I38" s="1103">
        <v>92.4</v>
      </c>
      <c r="J38" s="1104">
        <v>80.900000000000006</v>
      </c>
      <c r="K38" s="1104">
        <v>80.599999999999994</v>
      </c>
      <c r="L38" s="1105">
        <v>96.9</v>
      </c>
      <c r="M38" s="1105">
        <v>95.8</v>
      </c>
      <c r="N38" s="1105">
        <v>96.6</v>
      </c>
      <c r="O38" s="1106">
        <v>98.2</v>
      </c>
      <c r="P38" s="144"/>
      <c r="Q38" s="145"/>
      <c r="R38" s="146"/>
      <c r="S38" s="147"/>
      <c r="T38" s="148"/>
      <c r="U38" s="149"/>
      <c r="V38" s="150"/>
      <c r="W38" s="151"/>
    </row>
    <row r="39" spans="1:23" ht="15">
      <c r="A39" s="1302"/>
      <c r="B39" s="1303"/>
      <c r="C39" s="1304"/>
      <c r="D39" s="1118" t="s">
        <v>21</v>
      </c>
      <c r="E39" s="1123"/>
      <c r="F39" s="1123"/>
      <c r="G39" s="1124" t="s">
        <v>37</v>
      </c>
      <c r="H39" s="1119">
        <v>86.3</v>
      </c>
      <c r="I39" s="1024">
        <v>91.9</v>
      </c>
      <c r="J39" s="1120">
        <v>85.3</v>
      </c>
      <c r="K39" s="1120">
        <v>81.8</v>
      </c>
      <c r="L39" s="1113">
        <v>84.4</v>
      </c>
      <c r="M39" s="1113">
        <v>86.2</v>
      </c>
      <c r="N39" s="1113">
        <v>85.8</v>
      </c>
      <c r="O39" s="1121">
        <v>81.3</v>
      </c>
      <c r="P39" s="156"/>
      <c r="Q39" s="157"/>
      <c r="R39" s="158"/>
      <c r="S39" s="159"/>
      <c r="T39" s="160"/>
      <c r="U39" s="161"/>
      <c r="V39" s="162"/>
      <c r="W39" s="163"/>
    </row>
    <row r="40" spans="1:23" ht="15">
      <c r="A40" s="1302"/>
      <c r="B40" s="1303"/>
      <c r="C40" s="1304"/>
      <c r="D40" s="4" t="s">
        <v>42</v>
      </c>
      <c r="E40" s="5"/>
      <c r="F40" s="5"/>
      <c r="G40" s="13" t="s">
        <v>37</v>
      </c>
      <c r="H40" s="1026">
        <v>72.8</v>
      </c>
      <c r="I40" s="1027">
        <v>33.299999999999997</v>
      </c>
      <c r="J40" s="1027">
        <v>57.3</v>
      </c>
      <c r="K40" s="1027">
        <v>81.400000000000006</v>
      </c>
      <c r="L40" s="1028">
        <v>98.3</v>
      </c>
      <c r="M40" s="1028">
        <v>96.7</v>
      </c>
      <c r="N40" s="1028">
        <v>96.3</v>
      </c>
      <c r="O40" s="1029">
        <v>102.1</v>
      </c>
      <c r="P40" s="168"/>
      <c r="Q40" s="169"/>
      <c r="R40" s="170"/>
      <c r="S40" s="171"/>
      <c r="T40" s="172"/>
      <c r="U40" s="173"/>
      <c r="V40" s="174"/>
      <c r="W40" s="175"/>
    </row>
    <row r="41" spans="1:23" ht="15">
      <c r="A41" s="1302"/>
      <c r="B41" s="1303"/>
      <c r="C41" s="1304"/>
      <c r="D41" s="4" t="s">
        <v>22</v>
      </c>
      <c r="E41" s="5"/>
      <c r="F41" s="5"/>
      <c r="G41" s="13" t="s">
        <v>37</v>
      </c>
      <c r="H41" s="1026">
        <v>84.8</v>
      </c>
      <c r="I41" s="1031">
        <v>92.9</v>
      </c>
      <c r="J41" s="1027">
        <v>83.4</v>
      </c>
      <c r="K41" s="1027">
        <v>78.099999999999994</v>
      </c>
      <c r="L41" s="1056">
        <v>119.7</v>
      </c>
      <c r="M41" s="1056">
        <v>114.9</v>
      </c>
      <c r="N41" s="1056">
        <v>117.3</v>
      </c>
      <c r="O41" s="1057">
        <v>126.8</v>
      </c>
      <c r="P41" s="180"/>
      <c r="Q41" s="181"/>
      <c r="R41" s="182"/>
      <c r="S41" s="183"/>
      <c r="T41" s="184"/>
      <c r="U41" s="185"/>
      <c r="V41" s="186"/>
      <c r="W41" s="187"/>
    </row>
    <row r="42" spans="1:23" ht="15.75" thickBot="1">
      <c r="A42" s="1305"/>
      <c r="B42" s="1306"/>
      <c r="C42" s="1307"/>
      <c r="D42" s="34" t="s">
        <v>23</v>
      </c>
      <c r="E42" s="43"/>
      <c r="F42" s="43"/>
      <c r="G42" s="44" t="s">
        <v>37</v>
      </c>
      <c r="H42" s="1107">
        <v>88.9</v>
      </c>
      <c r="I42" s="1035">
        <v>108.1</v>
      </c>
      <c r="J42" s="1035">
        <v>90.7</v>
      </c>
      <c r="K42" s="1108">
        <v>68.400000000000006</v>
      </c>
      <c r="L42" s="1109">
        <v>275</v>
      </c>
      <c r="M42" s="1109">
        <v>188.9</v>
      </c>
      <c r="N42" s="1109">
        <v>275</v>
      </c>
      <c r="O42" s="1110">
        <v>361.1</v>
      </c>
      <c r="P42" s="192"/>
      <c r="Q42" s="193"/>
      <c r="R42" s="194"/>
      <c r="S42" s="195"/>
      <c r="T42" s="196"/>
      <c r="U42" s="197"/>
      <c r="V42" s="198"/>
      <c r="W42" s="199"/>
    </row>
    <row r="43" spans="1:23" ht="15">
      <c r="A43" s="1299" t="s">
        <v>2</v>
      </c>
      <c r="B43" s="1300"/>
      <c r="C43" s="1301"/>
      <c r="D43" s="1093" t="s">
        <v>16</v>
      </c>
      <c r="E43" s="1094"/>
      <c r="F43" s="1094"/>
      <c r="G43" s="1095" t="s">
        <v>37</v>
      </c>
      <c r="H43" s="1116">
        <v>102.9</v>
      </c>
      <c r="I43" s="1103">
        <v>104.2</v>
      </c>
      <c r="J43" s="1103">
        <v>97.9</v>
      </c>
      <c r="K43" s="1103">
        <v>106.5</v>
      </c>
      <c r="L43" s="1105">
        <v>92.7</v>
      </c>
      <c r="M43" s="1105">
        <v>97.4</v>
      </c>
      <c r="N43" s="1105">
        <v>93.9</v>
      </c>
      <c r="O43" s="1117">
        <v>87.3</v>
      </c>
      <c r="P43" s="204"/>
      <c r="Q43" s="205"/>
      <c r="R43" s="206"/>
      <c r="S43" s="207"/>
      <c r="T43" s="208"/>
      <c r="U43" s="209"/>
      <c r="V43" s="210"/>
      <c r="W43" s="211"/>
    </row>
    <row r="44" spans="1:23" ht="15">
      <c r="A44" s="1302"/>
      <c r="B44" s="1303"/>
      <c r="C44" s="1304"/>
      <c r="D44" s="1100" t="s">
        <v>17</v>
      </c>
      <c r="E44" s="37"/>
      <c r="F44" s="37"/>
      <c r="G44" s="1101" t="s">
        <v>37</v>
      </c>
      <c r="H44" s="1119">
        <v>66.7</v>
      </c>
      <c r="I44" s="1120">
        <v>60</v>
      </c>
      <c r="J44" s="1120">
        <v>57.1</v>
      </c>
      <c r="K44" s="1120">
        <v>81.8</v>
      </c>
      <c r="L44" s="1113">
        <v>52.1</v>
      </c>
      <c r="M44" s="1025">
        <v>94.4</v>
      </c>
      <c r="N44" s="1113">
        <v>56.3</v>
      </c>
      <c r="O44" s="1121">
        <v>23.3</v>
      </c>
      <c r="P44" s="216"/>
      <c r="Q44" s="217"/>
      <c r="R44" s="218"/>
      <c r="S44" s="219"/>
      <c r="T44" s="220"/>
      <c r="U44" s="221"/>
      <c r="V44" s="222"/>
      <c r="W44" s="223"/>
    </row>
    <row r="45" spans="1:23" ht="15">
      <c r="A45" s="1302"/>
      <c r="B45" s="1303"/>
      <c r="C45" s="1304"/>
      <c r="D45" s="4" t="s">
        <v>19</v>
      </c>
      <c r="E45" s="5"/>
      <c r="F45" s="5"/>
      <c r="G45" s="13" t="s">
        <v>37</v>
      </c>
      <c r="H45" s="1129" t="s">
        <v>84</v>
      </c>
      <c r="I45" s="1063" t="s">
        <v>83</v>
      </c>
      <c r="J45" s="1063" t="s">
        <v>83</v>
      </c>
      <c r="K45" s="1063" t="s">
        <v>83</v>
      </c>
      <c r="L45" s="1064" t="s">
        <v>83</v>
      </c>
      <c r="M45" s="1064" t="s">
        <v>83</v>
      </c>
      <c r="N45" s="1064" t="s">
        <v>83</v>
      </c>
      <c r="O45" s="1065" t="s">
        <v>83</v>
      </c>
      <c r="P45" s="228"/>
      <c r="Q45" s="229"/>
      <c r="R45" s="230"/>
      <c r="S45" s="231"/>
      <c r="T45" s="232"/>
      <c r="U45" s="233"/>
      <c r="V45" s="234"/>
      <c r="W45" s="235"/>
    </row>
    <row r="46" spans="1:23" ht="15.75" thickBot="1">
      <c r="A46" s="1305"/>
      <c r="B46" s="1306"/>
      <c r="C46" s="1307"/>
      <c r="D46" s="34" t="s">
        <v>18</v>
      </c>
      <c r="E46" s="43"/>
      <c r="F46" s="43"/>
      <c r="G46" s="44" t="s">
        <v>37</v>
      </c>
      <c r="H46" s="1034">
        <v>105.4</v>
      </c>
      <c r="I46" s="1035">
        <v>107.1</v>
      </c>
      <c r="J46" s="1035">
        <v>100.8</v>
      </c>
      <c r="K46" s="1035">
        <v>108.4</v>
      </c>
      <c r="L46" s="1036">
        <v>95.6</v>
      </c>
      <c r="M46" s="1036">
        <v>97.5</v>
      </c>
      <c r="N46" s="1036">
        <v>96.7</v>
      </c>
      <c r="O46" s="1037">
        <v>92.8</v>
      </c>
      <c r="P46" s="240"/>
      <c r="Q46" s="241"/>
      <c r="R46" s="242"/>
      <c r="S46" s="243"/>
      <c r="T46" s="244"/>
      <c r="U46" s="245"/>
      <c r="V46" s="246"/>
      <c r="W46" s="247"/>
    </row>
    <row r="47" spans="1:23" ht="15">
      <c r="A47" s="29" t="s">
        <v>1</v>
      </c>
      <c r="B47" s="8"/>
      <c r="C47" s="9"/>
      <c r="D47" s="1100" t="s">
        <v>25</v>
      </c>
      <c r="E47" s="37"/>
      <c r="F47" s="37"/>
      <c r="G47" s="1101" t="s">
        <v>37</v>
      </c>
      <c r="H47" s="1111">
        <v>112.9</v>
      </c>
      <c r="I47" s="1024">
        <v>107.1</v>
      </c>
      <c r="J47" s="1112">
        <v>120.2</v>
      </c>
      <c r="K47" s="1112">
        <v>111.8</v>
      </c>
      <c r="L47" s="1113">
        <v>80.3</v>
      </c>
      <c r="M47" s="1114">
        <v>85.3</v>
      </c>
      <c r="N47" s="1113">
        <v>74.900000000000006</v>
      </c>
      <c r="O47" s="1115">
        <v>81</v>
      </c>
      <c r="P47" s="252"/>
      <c r="Q47" s="253"/>
      <c r="R47" s="254"/>
      <c r="S47" s="255"/>
      <c r="T47" s="256"/>
      <c r="U47" s="257"/>
      <c r="V47" s="258"/>
      <c r="W47" s="259"/>
    </row>
    <row r="48" spans="1:23" ht="15">
      <c r="A48" s="29"/>
      <c r="B48" s="8"/>
      <c r="C48" s="9"/>
      <c r="D48" s="4" t="s">
        <v>26</v>
      </c>
      <c r="E48" s="5"/>
      <c r="F48" s="5"/>
      <c r="G48" s="13" t="s">
        <v>37</v>
      </c>
      <c r="H48" s="1030">
        <v>93</v>
      </c>
      <c r="I48" s="1031">
        <v>106.9</v>
      </c>
      <c r="J48" s="1031">
        <v>99.3</v>
      </c>
      <c r="K48" s="1027">
        <v>74.099999999999994</v>
      </c>
      <c r="L48" s="1028">
        <v>108.3</v>
      </c>
      <c r="M48" s="1056">
        <v>113.7</v>
      </c>
      <c r="N48" s="1056">
        <v>115.2</v>
      </c>
      <c r="O48" s="1029">
        <v>96.1</v>
      </c>
      <c r="P48" s="264"/>
      <c r="Q48" s="265"/>
      <c r="R48" s="266"/>
      <c r="S48" s="267"/>
      <c r="T48" s="268"/>
      <c r="U48" s="269"/>
      <c r="V48" s="270"/>
      <c r="W48" s="271"/>
    </row>
    <row r="49" spans="1:23" ht="15">
      <c r="A49" s="29"/>
      <c r="B49" s="8"/>
      <c r="C49" s="9"/>
      <c r="D49" s="4" t="s">
        <v>27</v>
      </c>
      <c r="E49" s="5"/>
      <c r="F49" s="5"/>
      <c r="G49" s="13" t="s">
        <v>37</v>
      </c>
      <c r="H49" s="1030">
        <v>107.5</v>
      </c>
      <c r="I49" s="1031">
        <v>104.6</v>
      </c>
      <c r="J49" s="1032">
        <v>123.3</v>
      </c>
      <c r="K49" s="1031">
        <v>96.9</v>
      </c>
      <c r="L49" s="1055">
        <v>86.1</v>
      </c>
      <c r="M49" s="1028">
        <v>97.7</v>
      </c>
      <c r="N49" s="1055">
        <v>84.1</v>
      </c>
      <c r="O49" s="1033">
        <v>77.8</v>
      </c>
      <c r="P49" s="276"/>
      <c r="Q49" s="277"/>
      <c r="R49" s="278"/>
      <c r="S49" s="279"/>
      <c r="T49" s="280"/>
      <c r="U49" s="281"/>
      <c r="V49" s="282"/>
      <c r="W49" s="283"/>
    </row>
    <row r="50" spans="1:23" ht="15">
      <c r="A50" s="29"/>
      <c r="B50" s="8"/>
      <c r="C50" s="9"/>
      <c r="D50" s="4" t="s">
        <v>28</v>
      </c>
      <c r="E50" s="5"/>
      <c r="F50" s="5"/>
      <c r="G50" s="13" t="s">
        <v>37</v>
      </c>
      <c r="H50" s="1026">
        <v>77</v>
      </c>
      <c r="I50" s="1027">
        <v>80</v>
      </c>
      <c r="J50" s="1027">
        <v>69.5</v>
      </c>
      <c r="K50" s="1027">
        <v>81.400000000000006</v>
      </c>
      <c r="L50" s="1055">
        <v>41.7</v>
      </c>
      <c r="M50" s="1055">
        <v>70.8</v>
      </c>
      <c r="N50" s="1055">
        <v>40.6</v>
      </c>
      <c r="O50" s="1033">
        <v>25</v>
      </c>
      <c r="P50" s="288"/>
      <c r="Q50" s="289"/>
      <c r="R50" s="290"/>
      <c r="S50" s="291"/>
      <c r="T50" s="292"/>
      <c r="U50" s="293"/>
      <c r="V50" s="294"/>
      <c r="W50" s="295"/>
    </row>
    <row r="51" spans="1:23" ht="15">
      <c r="A51" s="29"/>
      <c r="B51" s="8"/>
      <c r="C51" s="9"/>
      <c r="D51" s="4" t="s">
        <v>29</v>
      </c>
      <c r="E51" s="5"/>
      <c r="F51" s="5"/>
      <c r="G51" s="13" t="s">
        <v>37</v>
      </c>
      <c r="H51" s="1067">
        <v>111.9</v>
      </c>
      <c r="I51" s="1032">
        <v>121.1</v>
      </c>
      <c r="J51" s="1032">
        <v>117.1</v>
      </c>
      <c r="K51" s="1031">
        <v>98.7</v>
      </c>
      <c r="L51" s="1055">
        <v>79.2</v>
      </c>
      <c r="M51" s="1055">
        <v>89.5</v>
      </c>
      <c r="N51" s="1055">
        <v>79.5</v>
      </c>
      <c r="O51" s="1033">
        <v>68.900000000000006</v>
      </c>
      <c r="P51" s="300"/>
      <c r="Q51" s="301"/>
      <c r="R51" s="302"/>
      <c r="S51" s="303"/>
      <c r="T51" s="304"/>
      <c r="U51" s="305"/>
      <c r="V51" s="306"/>
      <c r="W51" s="307"/>
    </row>
    <row r="52" spans="1:23" ht="15">
      <c r="A52" s="29"/>
      <c r="B52" s="8"/>
      <c r="C52" s="9"/>
      <c r="D52" s="4" t="s">
        <v>5</v>
      </c>
      <c r="E52" s="5"/>
      <c r="F52" s="5"/>
      <c r="G52" s="13" t="s">
        <v>37</v>
      </c>
      <c r="H52" s="1030">
        <v>97.4</v>
      </c>
      <c r="I52" s="1031">
        <v>100.8</v>
      </c>
      <c r="J52" s="1031">
        <v>98.6</v>
      </c>
      <c r="K52" s="1031">
        <v>93.1</v>
      </c>
      <c r="L52" s="1055">
        <v>80.099999999999994</v>
      </c>
      <c r="M52" s="1055">
        <v>88.6</v>
      </c>
      <c r="N52" s="1055">
        <v>76.599999999999994</v>
      </c>
      <c r="O52" s="1033">
        <v>74.099999999999994</v>
      </c>
      <c r="P52" s="312"/>
      <c r="Q52" s="313"/>
      <c r="R52" s="314"/>
      <c r="S52" s="315"/>
      <c r="T52" s="316"/>
      <c r="U52" s="317"/>
      <c r="V52" s="318"/>
      <c r="W52" s="319"/>
    </row>
    <row r="53" spans="1:23" ht="15">
      <c r="A53" s="29"/>
      <c r="B53" s="8"/>
      <c r="C53" s="9"/>
      <c r="D53" s="4" t="s">
        <v>6</v>
      </c>
      <c r="E53" s="5"/>
      <c r="F53" s="5"/>
      <c r="G53" s="13" t="s">
        <v>37</v>
      </c>
      <c r="H53" s="1129" t="s">
        <v>84</v>
      </c>
      <c r="I53" s="1063" t="s">
        <v>83</v>
      </c>
      <c r="J53" s="1063" t="s">
        <v>83</v>
      </c>
      <c r="K53" s="1063" t="s">
        <v>83</v>
      </c>
      <c r="L53" s="1064" t="s">
        <v>83</v>
      </c>
      <c r="M53" s="1064" t="s">
        <v>83</v>
      </c>
      <c r="N53" s="1064" t="s">
        <v>83</v>
      </c>
      <c r="O53" s="1065" t="s">
        <v>83</v>
      </c>
      <c r="P53" s="324"/>
      <c r="Q53" s="325"/>
      <c r="R53" s="326"/>
      <c r="S53" s="327"/>
      <c r="T53" s="328"/>
      <c r="U53" s="329"/>
      <c r="V53" s="330"/>
      <c r="W53" s="331"/>
    </row>
    <row r="54" spans="1:23" ht="15">
      <c r="A54" s="29"/>
      <c r="B54" s="8"/>
      <c r="C54" s="9"/>
      <c r="D54" s="4" t="s">
        <v>7</v>
      </c>
      <c r="E54" s="5"/>
      <c r="F54" s="5"/>
      <c r="G54" s="13" t="s">
        <v>37</v>
      </c>
      <c r="H54" s="1026">
        <v>80.3</v>
      </c>
      <c r="I54" s="1027">
        <v>79.3</v>
      </c>
      <c r="J54" s="1027">
        <v>80.5</v>
      </c>
      <c r="K54" s="1027">
        <v>81.2</v>
      </c>
      <c r="L54" s="1028">
        <v>102.4</v>
      </c>
      <c r="M54" s="1028">
        <v>103.6</v>
      </c>
      <c r="N54" s="1028">
        <v>102.6</v>
      </c>
      <c r="O54" s="1029">
        <v>101.4</v>
      </c>
      <c r="P54" s="336"/>
      <c r="Q54" s="337"/>
      <c r="R54" s="338"/>
      <c r="S54" s="339"/>
      <c r="T54" s="340"/>
      <c r="U54" s="341"/>
      <c r="V54" s="342"/>
      <c r="W54" s="343"/>
    </row>
    <row r="55" spans="1:23" ht="15">
      <c r="A55" s="29"/>
      <c r="B55" s="8"/>
      <c r="C55" s="9"/>
      <c r="D55" s="4" t="s">
        <v>11</v>
      </c>
      <c r="E55" s="5"/>
      <c r="F55" s="5"/>
      <c r="G55" s="13" t="s">
        <v>37</v>
      </c>
      <c r="H55" s="1030">
        <v>94.8</v>
      </c>
      <c r="I55" s="1031">
        <v>105.7</v>
      </c>
      <c r="J55" s="1031">
        <v>93.5</v>
      </c>
      <c r="K55" s="1027">
        <v>87.8</v>
      </c>
      <c r="L55" s="1055">
        <v>77</v>
      </c>
      <c r="M55" s="1055">
        <v>79.7</v>
      </c>
      <c r="N55" s="1055">
        <v>81.8</v>
      </c>
      <c r="O55" s="1033">
        <v>70.099999999999994</v>
      </c>
      <c r="P55" s="348"/>
      <c r="Q55" s="349"/>
      <c r="R55" s="350"/>
      <c r="S55" s="351"/>
      <c r="T55" s="352"/>
      <c r="U55" s="353"/>
      <c r="V55" s="354"/>
      <c r="W55" s="355"/>
    </row>
    <row r="56" spans="1:23" ht="15">
      <c r="A56" s="29"/>
      <c r="B56" s="8"/>
      <c r="C56" s="9"/>
      <c r="D56" s="4" t="s">
        <v>12</v>
      </c>
      <c r="E56" s="5"/>
      <c r="F56" s="5"/>
      <c r="G56" s="13" t="s">
        <v>37</v>
      </c>
      <c r="H56" s="1026">
        <v>43.9</v>
      </c>
      <c r="I56" s="1027">
        <v>70.599999999999994</v>
      </c>
      <c r="J56" s="1027">
        <v>45</v>
      </c>
      <c r="K56" s="1027">
        <v>17.3</v>
      </c>
      <c r="L56" s="1056">
        <v>124.4</v>
      </c>
      <c r="M56" s="1055">
        <v>70.8</v>
      </c>
      <c r="N56" s="1056">
        <v>166.7</v>
      </c>
      <c r="O56" s="1057">
        <v>225</v>
      </c>
      <c r="P56" s="360"/>
      <c r="Q56" s="361"/>
      <c r="R56" s="362"/>
      <c r="S56" s="363"/>
      <c r="T56" s="364"/>
      <c r="U56" s="365"/>
      <c r="V56" s="366"/>
      <c r="W56" s="367"/>
    </row>
    <row r="57" spans="1:23" ht="15">
      <c r="A57" s="29"/>
      <c r="B57" s="8"/>
      <c r="C57" s="9"/>
      <c r="D57" s="4" t="s">
        <v>13</v>
      </c>
      <c r="E57" s="5"/>
      <c r="F57" s="5"/>
      <c r="G57" s="13" t="s">
        <v>37</v>
      </c>
      <c r="H57" s="1129" t="s">
        <v>84</v>
      </c>
      <c r="I57" s="1063" t="s">
        <v>83</v>
      </c>
      <c r="J57" s="1063" t="s">
        <v>83</v>
      </c>
      <c r="K57" s="1063" t="s">
        <v>83</v>
      </c>
      <c r="L57" s="1064" t="s">
        <v>83</v>
      </c>
      <c r="M57" s="1064" t="s">
        <v>83</v>
      </c>
      <c r="N57" s="1064" t="s">
        <v>83</v>
      </c>
      <c r="O57" s="1065" t="s">
        <v>83</v>
      </c>
      <c r="P57" s="372"/>
      <c r="Q57" s="373"/>
      <c r="R57" s="374"/>
      <c r="S57" s="375"/>
      <c r="T57" s="376"/>
      <c r="U57" s="377"/>
      <c r="V57" s="378"/>
      <c r="W57" s="379"/>
    </row>
    <row r="58" spans="1:23" ht="15">
      <c r="A58" s="29"/>
      <c r="B58" s="8"/>
      <c r="C58" s="9"/>
      <c r="D58" s="4" t="s">
        <v>14</v>
      </c>
      <c r="E58" s="5"/>
      <c r="F58" s="5"/>
      <c r="G58" s="13" t="s">
        <v>37</v>
      </c>
      <c r="H58" s="1030">
        <v>100.4</v>
      </c>
      <c r="I58" s="1031">
        <v>103.7</v>
      </c>
      <c r="J58" s="1031">
        <v>102.7</v>
      </c>
      <c r="K58" s="1031">
        <v>95.2</v>
      </c>
      <c r="L58" s="1028">
        <v>109.5</v>
      </c>
      <c r="M58" s="1056">
        <v>110.5</v>
      </c>
      <c r="N58" s="1056">
        <v>111</v>
      </c>
      <c r="O58" s="1029">
        <v>107</v>
      </c>
      <c r="P58" s="384"/>
      <c r="Q58" s="385"/>
      <c r="R58" s="386"/>
      <c r="S58" s="387"/>
      <c r="T58" s="388"/>
      <c r="U58" s="389"/>
      <c r="V58" s="390"/>
      <c r="W58" s="391"/>
    </row>
    <row r="59" spans="1:23" ht="15">
      <c r="A59" s="29"/>
      <c r="B59" s="8"/>
      <c r="C59" s="9"/>
      <c r="D59" s="4" t="s">
        <v>33</v>
      </c>
      <c r="E59" s="5"/>
      <c r="F59" s="5"/>
      <c r="G59" s="13" t="s">
        <v>37</v>
      </c>
      <c r="H59" s="1026">
        <v>85</v>
      </c>
      <c r="I59" s="1031">
        <v>90.8</v>
      </c>
      <c r="J59" s="1027">
        <v>73.400000000000006</v>
      </c>
      <c r="K59" s="1031">
        <v>90.6</v>
      </c>
      <c r="L59" s="1028">
        <v>94.4</v>
      </c>
      <c r="M59" s="1028">
        <v>108.3</v>
      </c>
      <c r="N59" s="1028">
        <v>93.8</v>
      </c>
      <c r="O59" s="1033">
        <v>81.3</v>
      </c>
      <c r="P59" s="396"/>
      <c r="Q59" s="397"/>
      <c r="R59" s="398"/>
      <c r="S59" s="399"/>
      <c r="T59" s="400"/>
      <c r="U59" s="401"/>
      <c r="V59" s="402"/>
      <c r="W59" s="403"/>
    </row>
    <row r="60" spans="1:23" ht="15">
      <c r="A60" s="29"/>
      <c r="B60" s="8"/>
      <c r="C60" s="9"/>
      <c r="D60" s="4" t="s">
        <v>34</v>
      </c>
      <c r="E60" s="5"/>
      <c r="F60" s="5"/>
      <c r="G60" s="13" t="s">
        <v>37</v>
      </c>
      <c r="H60" s="1067">
        <v>145.5</v>
      </c>
      <c r="I60" s="1032">
        <v>171.4</v>
      </c>
      <c r="J60" s="1032">
        <v>160</v>
      </c>
      <c r="K60" s="1031">
        <v>106.7</v>
      </c>
      <c r="L60" s="1055">
        <v>84.7</v>
      </c>
      <c r="M60" s="1028">
        <v>108.3</v>
      </c>
      <c r="N60" s="1055">
        <v>70.8</v>
      </c>
      <c r="O60" s="1033">
        <v>75</v>
      </c>
      <c r="P60" s="408"/>
      <c r="Q60" s="409"/>
      <c r="R60" s="410"/>
      <c r="S60" s="411"/>
      <c r="T60" s="412"/>
      <c r="U60" s="413"/>
      <c r="V60" s="414"/>
      <c r="W60" s="415"/>
    </row>
    <row r="61" spans="1:23" ht="15">
      <c r="A61" s="29"/>
      <c r="B61" s="8"/>
      <c r="C61" s="9"/>
      <c r="D61" s="4" t="s">
        <v>3</v>
      </c>
      <c r="E61" s="5"/>
      <c r="F61" s="5"/>
      <c r="G61" s="13" t="s">
        <v>37</v>
      </c>
      <c r="H61" s="1129" t="s">
        <v>84</v>
      </c>
      <c r="I61" s="1063" t="s">
        <v>83</v>
      </c>
      <c r="J61" s="1063" t="s">
        <v>83</v>
      </c>
      <c r="K61" s="1063" t="s">
        <v>83</v>
      </c>
      <c r="L61" s="1064" t="s">
        <v>83</v>
      </c>
      <c r="M61" s="1064" t="s">
        <v>83</v>
      </c>
      <c r="N61" s="1064" t="s">
        <v>83</v>
      </c>
      <c r="O61" s="1065" t="s">
        <v>83</v>
      </c>
      <c r="P61" s="420"/>
      <c r="Q61" s="421"/>
      <c r="R61" s="422"/>
      <c r="S61" s="423"/>
      <c r="T61" s="424"/>
      <c r="U61" s="425"/>
      <c r="V61" s="426"/>
      <c r="W61" s="427"/>
    </row>
    <row r="62" spans="1:23" ht="15">
      <c r="A62" s="29"/>
      <c r="B62" s="8"/>
      <c r="C62" s="9"/>
      <c r="D62" s="4" t="s">
        <v>4</v>
      </c>
      <c r="E62" s="5"/>
      <c r="F62" s="5"/>
      <c r="G62" s="13" t="s">
        <v>37</v>
      </c>
      <c r="H62" s="1129" t="s">
        <v>84</v>
      </c>
      <c r="I62" s="1063" t="s">
        <v>83</v>
      </c>
      <c r="J62" s="1063" t="s">
        <v>83</v>
      </c>
      <c r="K62" s="1063" t="s">
        <v>83</v>
      </c>
      <c r="L62" s="1064" t="s">
        <v>83</v>
      </c>
      <c r="M62" s="1064" t="s">
        <v>83</v>
      </c>
      <c r="N62" s="1064" t="s">
        <v>83</v>
      </c>
      <c r="O62" s="1065" t="s">
        <v>83</v>
      </c>
      <c r="P62" s="432"/>
      <c r="Q62" s="433"/>
      <c r="R62" s="434"/>
      <c r="S62" s="435"/>
      <c r="T62" s="436"/>
      <c r="U62" s="437"/>
      <c r="V62" s="438"/>
      <c r="W62" s="439"/>
    </row>
    <row r="63" spans="1:23" ht="15">
      <c r="A63" s="29"/>
      <c r="B63" s="8"/>
      <c r="C63" s="9"/>
      <c r="D63" s="4" t="s">
        <v>8</v>
      </c>
      <c r="E63" s="5"/>
      <c r="F63" s="5"/>
      <c r="G63" s="13" t="s">
        <v>37</v>
      </c>
      <c r="H63" s="1067">
        <v>116.4</v>
      </c>
      <c r="I63" s="1032">
        <v>119</v>
      </c>
      <c r="J63" s="1032">
        <v>112</v>
      </c>
      <c r="K63" s="1032">
        <v>118.6</v>
      </c>
      <c r="L63" s="1055">
        <v>51</v>
      </c>
      <c r="M63" s="1055">
        <v>59.7</v>
      </c>
      <c r="N63" s="1055">
        <v>52.9</v>
      </c>
      <c r="O63" s="1033">
        <v>41.5</v>
      </c>
      <c r="P63" s="444"/>
      <c r="Q63" s="445"/>
      <c r="R63" s="446"/>
      <c r="S63" s="447"/>
      <c r="T63" s="448"/>
      <c r="U63" s="449"/>
      <c r="V63" s="450"/>
      <c r="W63" s="451"/>
    </row>
    <row r="64" spans="1:23" ht="15">
      <c r="A64" s="29"/>
      <c r="B64" s="8"/>
      <c r="C64" s="9"/>
      <c r="D64" s="4" t="s">
        <v>9</v>
      </c>
      <c r="E64" s="5"/>
      <c r="F64" s="5"/>
      <c r="G64" s="13" t="s">
        <v>37</v>
      </c>
      <c r="H64" s="1129" t="s">
        <v>84</v>
      </c>
      <c r="I64" s="1063" t="s">
        <v>83</v>
      </c>
      <c r="J64" s="1063" t="s">
        <v>83</v>
      </c>
      <c r="K64" s="1063" t="s">
        <v>83</v>
      </c>
      <c r="L64" s="1064" t="s">
        <v>83</v>
      </c>
      <c r="M64" s="1064" t="s">
        <v>83</v>
      </c>
      <c r="N64" s="1064" t="s">
        <v>83</v>
      </c>
      <c r="O64" s="1065" t="s">
        <v>83</v>
      </c>
      <c r="P64" s="456"/>
      <c r="Q64" s="457"/>
      <c r="R64" s="458"/>
      <c r="S64" s="459"/>
      <c r="T64" s="460"/>
      <c r="U64" s="461"/>
      <c r="V64" s="462"/>
      <c r="W64" s="463"/>
    </row>
    <row r="65" spans="1:23" ht="15">
      <c r="A65" s="29"/>
      <c r="B65" s="8"/>
      <c r="C65" s="9"/>
      <c r="D65" s="4" t="s">
        <v>10</v>
      </c>
      <c r="E65" s="5"/>
      <c r="F65" s="5"/>
      <c r="G65" s="13" t="s">
        <v>37</v>
      </c>
      <c r="H65" s="1129" t="s">
        <v>84</v>
      </c>
      <c r="I65" s="1063" t="s">
        <v>83</v>
      </c>
      <c r="J65" s="1063" t="s">
        <v>83</v>
      </c>
      <c r="K65" s="1063" t="s">
        <v>83</v>
      </c>
      <c r="L65" s="1064" t="s">
        <v>83</v>
      </c>
      <c r="M65" s="1064" t="s">
        <v>83</v>
      </c>
      <c r="N65" s="1064" t="s">
        <v>83</v>
      </c>
      <c r="O65" s="1065" t="s">
        <v>83</v>
      </c>
      <c r="P65" s="468"/>
      <c r="Q65" s="469"/>
      <c r="R65" s="470"/>
      <c r="S65" s="471"/>
      <c r="T65" s="472"/>
      <c r="U65" s="473"/>
      <c r="V65" s="474"/>
      <c r="W65" s="475"/>
    </row>
    <row r="66" spans="1:23" ht="15.75" thickBot="1">
      <c r="A66" s="31"/>
      <c r="B66" s="32"/>
      <c r="C66" s="33"/>
      <c r="D66" s="34" t="s">
        <v>15</v>
      </c>
      <c r="E66" s="43"/>
      <c r="F66" s="43"/>
      <c r="G66" s="44" t="s">
        <v>37</v>
      </c>
      <c r="H66" s="1034">
        <v>98.4</v>
      </c>
      <c r="I66" s="1035">
        <v>101.3</v>
      </c>
      <c r="J66" s="1035">
        <v>98.8</v>
      </c>
      <c r="K66" s="1035">
        <v>95.5</v>
      </c>
      <c r="L66" s="1036">
        <v>90.6</v>
      </c>
      <c r="M66" s="1036">
        <v>97.6</v>
      </c>
      <c r="N66" s="1036">
        <v>91.8</v>
      </c>
      <c r="O66" s="1069">
        <v>82.2</v>
      </c>
      <c r="P66" s="480"/>
      <c r="Q66" s="481"/>
      <c r="R66" s="482"/>
      <c r="S66" s="483"/>
      <c r="T66" s="484"/>
      <c r="U66" s="485"/>
      <c r="V66" s="486"/>
      <c r="W66" s="487"/>
    </row>
    <row r="67" spans="1:23" ht="15" customHeight="1">
      <c r="A67" s="1294" t="s">
        <v>86</v>
      </c>
      <c r="B67" s="1318"/>
      <c r="C67" s="1318"/>
      <c r="D67" s="1318"/>
      <c r="E67" s="1318"/>
      <c r="F67" s="1318"/>
      <c r="G67" s="1318"/>
      <c r="H67" s="1318"/>
      <c r="I67" s="1318"/>
      <c r="J67" s="1318"/>
      <c r="K67" s="1318"/>
      <c r="L67" s="1318"/>
      <c r="M67" s="1318"/>
      <c r="N67" s="1318"/>
      <c r="O67" s="1318"/>
      <c r="P67" s="1318"/>
      <c r="Q67" s="1318"/>
      <c r="R67" s="1318"/>
      <c r="S67" s="1318"/>
      <c r="T67" s="1318"/>
      <c r="U67" s="1318"/>
      <c r="V67" s="1318"/>
      <c r="W67" s="1318"/>
    </row>
    <row r="68" spans="1:23" ht="15" customHeight="1">
      <c r="A68" s="1318"/>
      <c r="B68" s="1318"/>
      <c r="C68" s="1318"/>
      <c r="D68" s="1318"/>
      <c r="E68" s="1318"/>
      <c r="F68" s="1318"/>
      <c r="G68" s="1318"/>
      <c r="H68" s="1318"/>
      <c r="I68" s="1318"/>
      <c r="J68" s="1318"/>
      <c r="K68" s="1318"/>
      <c r="L68" s="1318"/>
      <c r="M68" s="1318"/>
      <c r="N68" s="1318"/>
      <c r="O68" s="1318"/>
      <c r="P68" s="1318"/>
      <c r="Q68" s="1318"/>
      <c r="R68" s="1318"/>
      <c r="S68" s="1318"/>
      <c r="T68" s="1318"/>
      <c r="U68" s="1318"/>
      <c r="V68" s="1318"/>
      <c r="W68" s="1318"/>
    </row>
  </sheetData>
  <mergeCells count="9">
    <mergeCell ref="H2:O2"/>
    <mergeCell ref="P2:W2"/>
    <mergeCell ref="A67:W68"/>
    <mergeCell ref="H35:O35"/>
    <mergeCell ref="P35:W35"/>
    <mergeCell ref="A43:C46"/>
    <mergeCell ref="A5:C9"/>
    <mergeCell ref="A10:C13"/>
    <mergeCell ref="A38:C42"/>
  </mergeCells>
  <phoneticPr fontId="5"/>
  <pageMargins left="0.70866141732283472" right="0.70866141732283472" top="0.55118110236220474" bottom="0.55118110236220474" header="0.31496062992125984" footer="0.31496062992125984"/>
  <pageSetup paperSize="8" scale="80" orientation="landscape" r:id="rId1"/>
  <colBreaks count="1" manualBreakCount="1">
    <brk id="23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E70"/>
  <sheetViews>
    <sheetView view="pageBreakPreview" topLeftCell="A64" zoomScaleNormal="100" zoomScaleSheetLayoutView="100" workbookViewId="0">
      <selection activeCell="L17" sqref="L17"/>
    </sheetView>
  </sheetViews>
  <sheetFormatPr defaultRowHeight="11.25"/>
  <cols>
    <col min="1" max="1" width="2.75" style="1" customWidth="1"/>
    <col min="2" max="3" width="6.625" style="1" customWidth="1"/>
    <col min="4" max="4" width="9.875" style="1" customWidth="1"/>
    <col min="5" max="5" width="13.875" style="1" customWidth="1"/>
    <col min="6" max="6" width="10.875" style="1" customWidth="1"/>
    <col min="7" max="7" width="6.375" style="1" bestFit="1" customWidth="1"/>
    <col min="8" max="23" width="11.625" style="1" customWidth="1"/>
    <col min="24" max="31" width="7.875" style="1" customWidth="1"/>
    <col min="32" max="32" width="5.625" style="1" customWidth="1"/>
    <col min="33" max="16384" width="9" style="1"/>
  </cols>
  <sheetData>
    <row r="1" spans="1:31" ht="29.25" customHeight="1" thickBot="1">
      <c r="A1" s="2" t="s">
        <v>75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15">
      <c r="A2" s="10"/>
      <c r="B2" s="11"/>
      <c r="C2" s="11"/>
      <c r="D2" s="11"/>
      <c r="E2" s="11"/>
      <c r="F2" s="11"/>
      <c r="G2" s="11"/>
      <c r="H2" s="1284" t="s">
        <v>38</v>
      </c>
      <c r="I2" s="1285"/>
      <c r="J2" s="1285"/>
      <c r="K2" s="1285"/>
      <c r="L2" s="1285"/>
      <c r="M2" s="1285"/>
      <c r="N2" s="1285"/>
      <c r="O2" s="1311"/>
      <c r="P2" s="1340" t="s">
        <v>39</v>
      </c>
      <c r="Q2" s="1341"/>
      <c r="R2" s="1341"/>
      <c r="S2" s="1341"/>
      <c r="T2" s="1341"/>
      <c r="U2" s="1341"/>
      <c r="V2" s="1341"/>
      <c r="W2" s="1342"/>
      <c r="X2" s="1339"/>
      <c r="Y2" s="1330"/>
      <c r="Z2" s="1330"/>
      <c r="AA2" s="1330"/>
      <c r="AB2" s="1330"/>
      <c r="AC2" s="1330"/>
      <c r="AD2" s="1330"/>
      <c r="AE2" s="1330"/>
    </row>
    <row r="3" spans="1:31" ht="15">
      <c r="A3" s="23"/>
      <c r="B3" s="24"/>
      <c r="C3" s="24"/>
      <c r="D3" s="24"/>
      <c r="E3" s="24"/>
      <c r="F3" s="24"/>
      <c r="G3" s="24"/>
      <c r="H3" s="16" t="s">
        <v>44</v>
      </c>
      <c r="I3" s="17"/>
      <c r="J3" s="17"/>
      <c r="K3" s="17"/>
      <c r="L3" s="26" t="s">
        <v>45</v>
      </c>
      <c r="M3" s="17"/>
      <c r="N3" s="17"/>
      <c r="O3" s="18"/>
      <c r="P3" s="16" t="s">
        <v>44</v>
      </c>
      <c r="Q3" s="17"/>
      <c r="R3" s="17"/>
      <c r="S3" s="17"/>
      <c r="T3" s="26" t="s">
        <v>45</v>
      </c>
      <c r="U3" s="17"/>
      <c r="V3" s="17"/>
      <c r="W3" s="18"/>
      <c r="X3" s="493"/>
      <c r="Y3" s="93"/>
      <c r="Z3" s="93"/>
      <c r="AA3" s="93"/>
      <c r="AB3" s="92"/>
      <c r="AC3" s="93"/>
      <c r="AD3" s="93"/>
      <c r="AE3" s="93"/>
    </row>
    <row r="4" spans="1:31" ht="15.75" thickBot="1">
      <c r="A4" s="19"/>
      <c r="B4" s="20"/>
      <c r="C4" s="20"/>
      <c r="D4" s="20"/>
      <c r="E4" s="20"/>
      <c r="F4" s="20"/>
      <c r="G4" s="20"/>
      <c r="H4" s="21" t="s">
        <v>30</v>
      </c>
      <c r="I4" s="25" t="s">
        <v>46</v>
      </c>
      <c r="J4" s="25" t="s">
        <v>47</v>
      </c>
      <c r="K4" s="25" t="s">
        <v>48</v>
      </c>
      <c r="L4" s="22" t="s">
        <v>30</v>
      </c>
      <c r="M4" s="25" t="s">
        <v>49</v>
      </c>
      <c r="N4" s="25" t="s">
        <v>50</v>
      </c>
      <c r="O4" s="27" t="s">
        <v>51</v>
      </c>
      <c r="P4" s="21" t="s">
        <v>30</v>
      </c>
      <c r="Q4" s="25" t="s">
        <v>46</v>
      </c>
      <c r="R4" s="25" t="s">
        <v>47</v>
      </c>
      <c r="S4" s="25" t="s">
        <v>48</v>
      </c>
      <c r="T4" s="22" t="s">
        <v>30</v>
      </c>
      <c r="U4" s="25" t="s">
        <v>49</v>
      </c>
      <c r="V4" s="25" t="s">
        <v>50</v>
      </c>
      <c r="W4" s="27" t="s">
        <v>51</v>
      </c>
      <c r="X4" s="493"/>
      <c r="Y4" s="94"/>
      <c r="Z4" s="94"/>
      <c r="AA4" s="94"/>
      <c r="AB4" s="92"/>
      <c r="AC4" s="94"/>
      <c r="AD4" s="94"/>
      <c r="AE4" s="94"/>
    </row>
    <row r="5" spans="1:31" ht="15.75" thickTop="1">
      <c r="A5" s="39" t="s">
        <v>20</v>
      </c>
      <c r="B5" s="36"/>
      <c r="C5" s="36"/>
      <c r="D5" s="53" t="s">
        <v>16</v>
      </c>
      <c r="E5" s="54"/>
      <c r="F5" s="54"/>
      <c r="G5" s="55" t="s">
        <v>41</v>
      </c>
      <c r="H5" s="1038">
        <v>1576656367</v>
      </c>
      <c r="I5" s="1039">
        <v>485214713</v>
      </c>
      <c r="J5" s="1039">
        <v>505190533</v>
      </c>
      <c r="K5" s="1039">
        <v>586251121</v>
      </c>
      <c r="L5" s="1040">
        <v>1981953379</v>
      </c>
      <c r="M5" s="1040">
        <v>632530522</v>
      </c>
      <c r="N5" s="1040">
        <v>655985556</v>
      </c>
      <c r="O5" s="1041">
        <v>693437301</v>
      </c>
      <c r="P5" s="1038">
        <v>1783408000</v>
      </c>
      <c r="Q5" s="1039">
        <v>517383000</v>
      </c>
      <c r="R5" s="1039">
        <v>591893000</v>
      </c>
      <c r="S5" s="1039">
        <v>674132000</v>
      </c>
      <c r="T5" s="1040">
        <v>1914779000</v>
      </c>
      <c r="U5" s="1040">
        <v>623761000</v>
      </c>
      <c r="V5" s="1040">
        <v>637858000</v>
      </c>
      <c r="W5" s="1041">
        <v>653160000</v>
      </c>
      <c r="X5" s="494"/>
      <c r="Y5" s="495"/>
      <c r="Z5" s="496"/>
      <c r="AA5" s="497"/>
      <c r="AB5" s="498"/>
      <c r="AC5" s="499"/>
      <c r="AD5" s="500"/>
      <c r="AE5" s="501"/>
    </row>
    <row r="6" spans="1:31" ht="15">
      <c r="A6" s="14"/>
      <c r="B6" s="38"/>
      <c r="C6" s="38"/>
      <c r="D6" s="4" t="s">
        <v>21</v>
      </c>
      <c r="E6" s="47"/>
      <c r="F6" s="47"/>
      <c r="G6" s="48" t="s">
        <v>35</v>
      </c>
      <c r="H6" s="1014">
        <v>938452043</v>
      </c>
      <c r="I6" s="1015">
        <v>320524741</v>
      </c>
      <c r="J6" s="1015">
        <v>308972773</v>
      </c>
      <c r="K6" s="1015">
        <v>308954529</v>
      </c>
      <c r="L6" s="1016">
        <v>902994583</v>
      </c>
      <c r="M6" s="1016">
        <v>293892899</v>
      </c>
      <c r="N6" s="1016">
        <v>302811380</v>
      </c>
      <c r="O6" s="1017">
        <v>306290304</v>
      </c>
      <c r="P6" s="1014">
        <v>1052022000</v>
      </c>
      <c r="Q6" s="1015">
        <v>345739000</v>
      </c>
      <c r="R6" s="1015">
        <v>350652000</v>
      </c>
      <c r="S6" s="1015">
        <v>355631000</v>
      </c>
      <c r="T6" s="1016">
        <v>1042246000</v>
      </c>
      <c r="U6" s="1016">
        <v>332542000</v>
      </c>
      <c r="V6" s="1016">
        <v>347201000</v>
      </c>
      <c r="W6" s="1017">
        <v>362503000</v>
      </c>
      <c r="X6" s="502"/>
      <c r="Y6" s="503"/>
      <c r="Z6" s="504"/>
      <c r="AA6" s="505"/>
      <c r="AB6" s="506"/>
      <c r="AC6" s="507"/>
      <c r="AD6" s="508"/>
      <c r="AE6" s="509"/>
    </row>
    <row r="7" spans="1:31" ht="15">
      <c r="A7" s="14"/>
      <c r="B7" s="38"/>
      <c r="C7" s="38"/>
      <c r="D7" s="4" t="s">
        <v>32</v>
      </c>
      <c r="E7" s="5"/>
      <c r="F7" s="5"/>
      <c r="G7" s="13" t="s">
        <v>35</v>
      </c>
      <c r="H7" s="1014">
        <v>193099590</v>
      </c>
      <c r="I7" s="1015">
        <v>755667</v>
      </c>
      <c r="J7" s="1015">
        <v>50609421</v>
      </c>
      <c r="K7" s="1015">
        <v>141734502</v>
      </c>
      <c r="L7" s="1016">
        <v>538212746</v>
      </c>
      <c r="M7" s="1016">
        <v>175971728</v>
      </c>
      <c r="N7" s="1016">
        <v>177150501</v>
      </c>
      <c r="O7" s="1017">
        <v>185090517</v>
      </c>
      <c r="P7" s="1014">
        <v>224315000</v>
      </c>
      <c r="Q7" s="1015">
        <v>3734000</v>
      </c>
      <c r="R7" s="1015">
        <v>72377000</v>
      </c>
      <c r="S7" s="1015">
        <v>148204000</v>
      </c>
      <c r="T7" s="1016">
        <v>463412000</v>
      </c>
      <c r="U7" s="1016">
        <v>154670000</v>
      </c>
      <c r="V7" s="1016">
        <v>154371000</v>
      </c>
      <c r="W7" s="1017">
        <v>154371000</v>
      </c>
      <c r="X7" s="510"/>
      <c r="Y7" s="511"/>
      <c r="Z7" s="512"/>
      <c r="AA7" s="513"/>
      <c r="AB7" s="514"/>
      <c r="AC7" s="515"/>
      <c r="AD7" s="516"/>
      <c r="AE7" s="517"/>
    </row>
    <row r="8" spans="1:31" ht="15">
      <c r="A8" s="14"/>
      <c r="B8" s="38"/>
      <c r="C8" s="38"/>
      <c r="D8" s="4" t="s">
        <v>22</v>
      </c>
      <c r="E8" s="5"/>
      <c r="F8" s="5"/>
      <c r="G8" s="13" t="s">
        <v>35</v>
      </c>
      <c r="H8" s="1014">
        <v>380652512</v>
      </c>
      <c r="I8" s="1015">
        <v>138058450</v>
      </c>
      <c r="J8" s="1015">
        <v>124363677</v>
      </c>
      <c r="K8" s="1015">
        <v>118230385</v>
      </c>
      <c r="L8" s="1016">
        <v>435455455</v>
      </c>
      <c r="M8" s="1016">
        <v>136827079</v>
      </c>
      <c r="N8" s="1016">
        <v>141203490</v>
      </c>
      <c r="O8" s="1017">
        <v>157424886</v>
      </c>
      <c r="P8" s="1014">
        <v>440181000</v>
      </c>
      <c r="Q8" s="1015">
        <v>145960000</v>
      </c>
      <c r="R8" s="1015">
        <v>146574000</v>
      </c>
      <c r="S8" s="1015">
        <v>147647000</v>
      </c>
      <c r="T8" s="1016">
        <v>364528000</v>
      </c>
      <c r="U8" s="1016">
        <v>121666000</v>
      </c>
      <c r="V8" s="1016">
        <v>121431000</v>
      </c>
      <c r="W8" s="1017">
        <v>121431000</v>
      </c>
      <c r="X8" s="518"/>
      <c r="Y8" s="519"/>
      <c r="Z8" s="520"/>
      <c r="AA8" s="521"/>
      <c r="AB8" s="522"/>
      <c r="AC8" s="523"/>
      <c r="AD8" s="524"/>
      <c r="AE8" s="525"/>
    </row>
    <row r="9" spans="1:31" ht="15">
      <c r="A9" s="14"/>
      <c r="B9" s="38"/>
      <c r="C9" s="38"/>
      <c r="D9" s="49" t="s">
        <v>23</v>
      </c>
      <c r="E9" s="36"/>
      <c r="F9" s="36"/>
      <c r="G9" s="50" t="s">
        <v>35</v>
      </c>
      <c r="H9" s="1042">
        <v>64452222</v>
      </c>
      <c r="I9" s="1043">
        <v>25875855</v>
      </c>
      <c r="J9" s="1043">
        <v>21244662</v>
      </c>
      <c r="K9" s="1043">
        <v>17331705</v>
      </c>
      <c r="L9" s="1044">
        <v>105290595</v>
      </c>
      <c r="M9" s="1044">
        <v>25838816</v>
      </c>
      <c r="N9" s="1044">
        <v>34820185</v>
      </c>
      <c r="O9" s="1045">
        <v>44631594</v>
      </c>
      <c r="P9" s="1042">
        <v>66890000</v>
      </c>
      <c r="Q9" s="1043">
        <v>21950000</v>
      </c>
      <c r="R9" s="1043">
        <v>22290000</v>
      </c>
      <c r="S9" s="1043">
        <v>22650000</v>
      </c>
      <c r="T9" s="1044">
        <v>44593000</v>
      </c>
      <c r="U9" s="1044">
        <v>14883000</v>
      </c>
      <c r="V9" s="1044">
        <v>14855000</v>
      </c>
      <c r="W9" s="1045">
        <v>14855000</v>
      </c>
      <c r="X9" s="526"/>
      <c r="Y9" s="527"/>
      <c r="Z9" s="528"/>
      <c r="AA9" s="529"/>
      <c r="AB9" s="530"/>
      <c r="AC9" s="531"/>
      <c r="AD9" s="532"/>
      <c r="AE9" s="533"/>
    </row>
    <row r="10" spans="1:31" ht="15">
      <c r="A10" s="39" t="s">
        <v>2</v>
      </c>
      <c r="B10" s="36"/>
      <c r="C10" s="36"/>
      <c r="D10" s="53" t="s">
        <v>16</v>
      </c>
      <c r="E10" s="54"/>
      <c r="F10" s="54"/>
      <c r="G10" s="56" t="s">
        <v>35</v>
      </c>
      <c r="H10" s="1038">
        <v>467795430</v>
      </c>
      <c r="I10" s="1039">
        <v>156985794</v>
      </c>
      <c r="J10" s="1039">
        <v>150577407</v>
      </c>
      <c r="K10" s="1039">
        <v>160232229</v>
      </c>
      <c r="L10" s="1040">
        <v>485795439</v>
      </c>
      <c r="M10" s="1040">
        <v>159983703</v>
      </c>
      <c r="N10" s="1040">
        <v>162074079</v>
      </c>
      <c r="O10" s="1041">
        <v>163737657</v>
      </c>
      <c r="P10" s="1038">
        <v>436220000</v>
      </c>
      <c r="Q10" s="1039">
        <v>147976000</v>
      </c>
      <c r="R10" s="1039">
        <v>144692000</v>
      </c>
      <c r="S10" s="1039">
        <v>143552000</v>
      </c>
      <c r="T10" s="1040">
        <v>489898000</v>
      </c>
      <c r="U10" s="1040">
        <v>156682000</v>
      </c>
      <c r="V10" s="1040">
        <v>161646000</v>
      </c>
      <c r="W10" s="1041">
        <v>171570000</v>
      </c>
      <c r="X10" s="534"/>
      <c r="Y10" s="535"/>
      <c r="Z10" s="536"/>
      <c r="AA10" s="537"/>
      <c r="AB10" s="538"/>
      <c r="AC10" s="539"/>
      <c r="AD10" s="540"/>
      <c r="AE10" s="541"/>
    </row>
    <row r="11" spans="1:31" ht="15">
      <c r="A11" s="14"/>
      <c r="B11" s="38"/>
      <c r="C11" s="38"/>
      <c r="D11" s="4" t="s">
        <v>17</v>
      </c>
      <c r="E11" s="5"/>
      <c r="F11" s="5"/>
      <c r="G11" s="13" t="s">
        <v>35</v>
      </c>
      <c r="H11" s="1014">
        <v>18167643</v>
      </c>
      <c r="I11" s="1015">
        <v>5302602</v>
      </c>
      <c r="J11" s="1015">
        <v>5271561</v>
      </c>
      <c r="K11" s="1015">
        <v>7593480</v>
      </c>
      <c r="L11" s="1016">
        <v>17122383</v>
      </c>
      <c r="M11" s="1016">
        <v>7596009</v>
      </c>
      <c r="N11" s="1016">
        <v>6212007</v>
      </c>
      <c r="O11" s="1017">
        <v>3314367</v>
      </c>
      <c r="P11" s="1014">
        <v>19560000</v>
      </c>
      <c r="Q11" s="1015">
        <v>6202000</v>
      </c>
      <c r="R11" s="1015">
        <v>6539000</v>
      </c>
      <c r="S11" s="1015">
        <v>6819000</v>
      </c>
      <c r="T11" s="1016">
        <v>31145000</v>
      </c>
      <c r="U11" s="1016">
        <v>7567000</v>
      </c>
      <c r="V11" s="1016">
        <v>10377000</v>
      </c>
      <c r="W11" s="1017">
        <v>13201000</v>
      </c>
      <c r="X11" s="542"/>
      <c r="Y11" s="543"/>
      <c r="Z11" s="544"/>
      <c r="AA11" s="545"/>
      <c r="AB11" s="546"/>
      <c r="AC11" s="547"/>
      <c r="AD11" s="548"/>
      <c r="AE11" s="549"/>
    </row>
    <row r="12" spans="1:31" ht="15">
      <c r="A12" s="14"/>
      <c r="B12" s="38"/>
      <c r="C12" s="38"/>
      <c r="D12" s="4" t="s">
        <v>19</v>
      </c>
      <c r="E12" s="5"/>
      <c r="F12" s="5"/>
      <c r="G12" s="13" t="s">
        <v>35</v>
      </c>
      <c r="H12" s="1014">
        <v>0</v>
      </c>
      <c r="I12" s="1015">
        <v>0</v>
      </c>
      <c r="J12" s="1015">
        <v>0</v>
      </c>
      <c r="K12" s="1015">
        <v>0</v>
      </c>
      <c r="L12" s="1016">
        <v>0</v>
      </c>
      <c r="M12" s="1016">
        <v>0</v>
      </c>
      <c r="N12" s="1016">
        <v>0</v>
      </c>
      <c r="O12" s="1017">
        <v>0</v>
      </c>
      <c r="P12" s="1014">
        <v>0</v>
      </c>
      <c r="Q12" s="1015">
        <v>0</v>
      </c>
      <c r="R12" s="1015">
        <v>0</v>
      </c>
      <c r="S12" s="1015">
        <v>0</v>
      </c>
      <c r="T12" s="1016">
        <v>0</v>
      </c>
      <c r="U12" s="1016">
        <v>0</v>
      </c>
      <c r="V12" s="1016">
        <v>0</v>
      </c>
      <c r="W12" s="1017">
        <v>0</v>
      </c>
      <c r="X12" s="550"/>
      <c r="Y12" s="551"/>
      <c r="Z12" s="552"/>
      <c r="AA12" s="553"/>
      <c r="AB12" s="554"/>
      <c r="AC12" s="555"/>
      <c r="AD12" s="556"/>
      <c r="AE12" s="557"/>
    </row>
    <row r="13" spans="1:31" ht="15">
      <c r="A13" s="15"/>
      <c r="B13" s="37"/>
      <c r="C13" s="37"/>
      <c r="D13" s="4" t="s">
        <v>18</v>
      </c>
      <c r="E13" s="5"/>
      <c r="F13" s="5"/>
      <c r="G13" s="13" t="s">
        <v>35</v>
      </c>
      <c r="H13" s="1014">
        <v>449627787</v>
      </c>
      <c r="I13" s="1015">
        <v>151683192</v>
      </c>
      <c r="J13" s="1015">
        <v>145305846</v>
      </c>
      <c r="K13" s="1015">
        <v>152638749</v>
      </c>
      <c r="L13" s="1016">
        <v>468673056</v>
      </c>
      <c r="M13" s="1016">
        <v>152387694</v>
      </c>
      <c r="N13" s="1016">
        <v>155862072</v>
      </c>
      <c r="O13" s="1017">
        <v>160423290</v>
      </c>
      <c r="P13" s="1014">
        <v>416660000</v>
      </c>
      <c r="Q13" s="1015">
        <v>141774000</v>
      </c>
      <c r="R13" s="1015">
        <v>138153000</v>
      </c>
      <c r="S13" s="1015">
        <v>136733000</v>
      </c>
      <c r="T13" s="1016">
        <v>458753000</v>
      </c>
      <c r="U13" s="1016">
        <v>149115000</v>
      </c>
      <c r="V13" s="1016">
        <v>151269000</v>
      </c>
      <c r="W13" s="1017">
        <v>158369000</v>
      </c>
      <c r="X13" s="558"/>
      <c r="Y13" s="559"/>
      <c r="Z13" s="560"/>
      <c r="AA13" s="561"/>
      <c r="AB13" s="562"/>
      <c r="AC13" s="563"/>
      <c r="AD13" s="564"/>
      <c r="AE13" s="565"/>
    </row>
    <row r="14" spans="1:31" ht="15">
      <c r="A14" s="39" t="s">
        <v>24</v>
      </c>
      <c r="B14" s="36"/>
      <c r="C14" s="36"/>
      <c r="D14" s="53" t="s">
        <v>16</v>
      </c>
      <c r="E14" s="54"/>
      <c r="F14" s="54"/>
      <c r="G14" s="56" t="s">
        <v>35</v>
      </c>
      <c r="H14" s="1038">
        <v>3210002503</v>
      </c>
      <c r="I14" s="1039">
        <v>1054108097</v>
      </c>
      <c r="J14" s="1039">
        <v>1087761150</v>
      </c>
      <c r="K14" s="1039">
        <v>1068133256</v>
      </c>
      <c r="L14" s="1040">
        <v>3177218000</v>
      </c>
      <c r="M14" s="1046">
        <v>1092065955</v>
      </c>
      <c r="N14" s="1040">
        <v>1074347844</v>
      </c>
      <c r="O14" s="1047">
        <v>1010804201</v>
      </c>
      <c r="P14" s="1038">
        <v>2985326000</v>
      </c>
      <c r="Q14" s="1039">
        <v>974530000</v>
      </c>
      <c r="R14" s="1039">
        <v>984354000</v>
      </c>
      <c r="S14" s="1039">
        <v>1026442000</v>
      </c>
      <c r="T14" s="1040">
        <v>3449600000</v>
      </c>
      <c r="U14" s="1046">
        <v>1138244000</v>
      </c>
      <c r="V14" s="1040">
        <v>1173668000</v>
      </c>
      <c r="W14" s="1047">
        <v>1137688000</v>
      </c>
      <c r="X14" s="566"/>
      <c r="Y14" s="567"/>
      <c r="Z14" s="568"/>
      <c r="AA14" s="569"/>
      <c r="AB14" s="570"/>
      <c r="AC14" s="571"/>
      <c r="AD14" s="572"/>
      <c r="AE14" s="573"/>
    </row>
    <row r="15" spans="1:31" ht="15">
      <c r="A15" s="14"/>
      <c r="B15" s="38"/>
      <c r="C15" s="38"/>
      <c r="D15" s="4" t="s">
        <v>25</v>
      </c>
      <c r="E15" s="5"/>
      <c r="F15" s="5"/>
      <c r="G15" s="13" t="s">
        <v>35</v>
      </c>
      <c r="H15" s="1014">
        <v>638354781</v>
      </c>
      <c r="I15" s="1015">
        <v>200898372</v>
      </c>
      <c r="J15" s="1015">
        <v>226076172</v>
      </c>
      <c r="K15" s="1015">
        <v>211380237</v>
      </c>
      <c r="L15" s="1016">
        <v>706331932</v>
      </c>
      <c r="M15" s="1016">
        <v>240098731</v>
      </c>
      <c r="N15" s="1016">
        <v>227181702</v>
      </c>
      <c r="O15" s="1017">
        <v>239051499</v>
      </c>
      <c r="P15" s="1014">
        <v>466302000</v>
      </c>
      <c r="Q15" s="1015">
        <v>169652000</v>
      </c>
      <c r="R15" s="1015">
        <v>147596000</v>
      </c>
      <c r="S15" s="1015">
        <v>149054000</v>
      </c>
      <c r="T15" s="1016">
        <v>816130000</v>
      </c>
      <c r="U15" s="1016">
        <v>257485000</v>
      </c>
      <c r="V15" s="1016">
        <v>275062000</v>
      </c>
      <c r="W15" s="1017">
        <v>283583000</v>
      </c>
      <c r="X15" s="574"/>
      <c r="Y15" s="575"/>
      <c r="Z15" s="576"/>
      <c r="AA15" s="577"/>
      <c r="AB15" s="578"/>
      <c r="AC15" s="579"/>
      <c r="AD15" s="580"/>
      <c r="AE15" s="581"/>
    </row>
    <row r="16" spans="1:31" ht="15">
      <c r="A16" s="14"/>
      <c r="B16" s="38"/>
      <c r="C16" s="38"/>
      <c r="D16" s="4" t="s">
        <v>26</v>
      </c>
      <c r="E16" s="5"/>
      <c r="F16" s="5"/>
      <c r="G16" s="13" t="s">
        <v>35</v>
      </c>
      <c r="H16" s="1014">
        <v>35454255</v>
      </c>
      <c r="I16" s="1015">
        <v>12831221</v>
      </c>
      <c r="J16" s="1015">
        <v>12493282</v>
      </c>
      <c r="K16" s="1015">
        <v>10129752</v>
      </c>
      <c r="L16" s="1016">
        <v>33085636</v>
      </c>
      <c r="M16" s="1016">
        <v>11791355</v>
      </c>
      <c r="N16" s="1016">
        <v>11883568</v>
      </c>
      <c r="O16" s="1017">
        <v>9410713</v>
      </c>
      <c r="P16" s="1014">
        <v>37182000</v>
      </c>
      <c r="Q16" s="1015">
        <v>11908000</v>
      </c>
      <c r="R16" s="1015">
        <v>12394000</v>
      </c>
      <c r="S16" s="1015">
        <v>12880000</v>
      </c>
      <c r="T16" s="1016">
        <v>36389000</v>
      </c>
      <c r="U16" s="1016">
        <v>9317000</v>
      </c>
      <c r="V16" s="1016">
        <v>11578000</v>
      </c>
      <c r="W16" s="1017">
        <v>15494000</v>
      </c>
      <c r="X16" s="582"/>
      <c r="Y16" s="583"/>
      <c r="Z16" s="584"/>
      <c r="AA16" s="585"/>
      <c r="AB16" s="586"/>
      <c r="AC16" s="587"/>
      <c r="AD16" s="588"/>
      <c r="AE16" s="589"/>
    </row>
    <row r="17" spans="1:31" ht="15">
      <c r="A17" s="14"/>
      <c r="B17" s="38"/>
      <c r="C17" s="38"/>
      <c r="D17" s="4" t="s">
        <v>27</v>
      </c>
      <c r="E17" s="5"/>
      <c r="F17" s="5"/>
      <c r="G17" s="13" t="s">
        <v>35</v>
      </c>
      <c r="H17" s="1014">
        <v>152875661</v>
      </c>
      <c r="I17" s="1015">
        <v>54561669</v>
      </c>
      <c r="J17" s="1015">
        <v>52349688</v>
      </c>
      <c r="K17" s="1015">
        <v>45964304</v>
      </c>
      <c r="L17" s="1016">
        <v>120924762</v>
      </c>
      <c r="M17" s="1016">
        <v>45903971</v>
      </c>
      <c r="N17" s="1016">
        <v>38921084</v>
      </c>
      <c r="O17" s="1017">
        <v>36099707</v>
      </c>
      <c r="P17" s="1014">
        <v>131949000</v>
      </c>
      <c r="Q17" s="1015">
        <v>49587000</v>
      </c>
      <c r="R17" s="1015">
        <v>38219000</v>
      </c>
      <c r="S17" s="1015">
        <v>44143000</v>
      </c>
      <c r="T17" s="1016">
        <v>118074000</v>
      </c>
      <c r="U17" s="1016">
        <v>41560000</v>
      </c>
      <c r="V17" s="1016">
        <v>38997000</v>
      </c>
      <c r="W17" s="1017">
        <v>37517000</v>
      </c>
      <c r="X17" s="590"/>
      <c r="Y17" s="591"/>
      <c r="Z17" s="592"/>
      <c r="AA17" s="593"/>
      <c r="AB17" s="594"/>
      <c r="AC17" s="595"/>
      <c r="AD17" s="596"/>
      <c r="AE17" s="597"/>
    </row>
    <row r="18" spans="1:31" ht="15">
      <c r="A18" s="14"/>
      <c r="B18" s="38"/>
      <c r="C18" s="38"/>
      <c r="D18" s="4" t="s">
        <v>28</v>
      </c>
      <c r="E18" s="5"/>
      <c r="F18" s="5"/>
      <c r="G18" s="13" t="s">
        <v>35</v>
      </c>
      <c r="H18" s="1014">
        <v>3274326</v>
      </c>
      <c r="I18" s="1015">
        <v>1362987</v>
      </c>
      <c r="J18" s="1015">
        <v>818046</v>
      </c>
      <c r="K18" s="1015">
        <v>1093293</v>
      </c>
      <c r="L18" s="1016">
        <v>3878784</v>
      </c>
      <c r="M18" s="1016">
        <v>1083519</v>
      </c>
      <c r="N18" s="1016">
        <v>1856675</v>
      </c>
      <c r="O18" s="1017">
        <v>938590</v>
      </c>
      <c r="P18" s="1014">
        <v>3245000</v>
      </c>
      <c r="Q18" s="1015">
        <v>1109000</v>
      </c>
      <c r="R18" s="1015">
        <v>1082000</v>
      </c>
      <c r="S18" s="1015">
        <v>1054000</v>
      </c>
      <c r="T18" s="1016">
        <v>2891000</v>
      </c>
      <c r="U18" s="1016">
        <v>981000</v>
      </c>
      <c r="V18" s="1016">
        <v>968000</v>
      </c>
      <c r="W18" s="1017">
        <v>942000</v>
      </c>
      <c r="X18" s="598"/>
      <c r="Y18" s="599"/>
      <c r="Z18" s="600"/>
      <c r="AA18" s="601"/>
      <c r="AB18" s="602"/>
      <c r="AC18" s="603"/>
      <c r="AD18" s="604"/>
      <c r="AE18" s="605"/>
    </row>
    <row r="19" spans="1:31" ht="15">
      <c r="A19" s="14"/>
      <c r="B19" s="38"/>
      <c r="C19" s="38"/>
      <c r="D19" s="4" t="s">
        <v>29</v>
      </c>
      <c r="E19" s="5"/>
      <c r="F19" s="5"/>
      <c r="G19" s="13" t="s">
        <v>35</v>
      </c>
      <c r="H19" s="1014">
        <v>28748200</v>
      </c>
      <c r="I19" s="1015">
        <v>9396972</v>
      </c>
      <c r="J19" s="1015">
        <v>10509628</v>
      </c>
      <c r="K19" s="1015">
        <v>8841600</v>
      </c>
      <c r="L19" s="1016">
        <v>20382274</v>
      </c>
      <c r="M19" s="1016">
        <v>8246709</v>
      </c>
      <c r="N19" s="1016">
        <v>6375068</v>
      </c>
      <c r="O19" s="1017">
        <v>5760497</v>
      </c>
      <c r="P19" s="1014">
        <v>19193000</v>
      </c>
      <c r="Q19" s="1015">
        <v>6111000</v>
      </c>
      <c r="R19" s="1015">
        <v>6398000</v>
      </c>
      <c r="S19" s="1015">
        <v>6684000</v>
      </c>
      <c r="T19" s="1016">
        <v>26575000</v>
      </c>
      <c r="U19" s="1016">
        <v>9068000</v>
      </c>
      <c r="V19" s="1016">
        <v>8817000</v>
      </c>
      <c r="W19" s="1017">
        <v>8690000</v>
      </c>
      <c r="X19" s="606"/>
      <c r="Y19" s="607"/>
      <c r="Z19" s="608"/>
      <c r="AA19" s="609"/>
      <c r="AB19" s="610"/>
      <c r="AC19" s="611"/>
      <c r="AD19" s="612"/>
      <c r="AE19" s="613"/>
    </row>
    <row r="20" spans="1:31" ht="15">
      <c r="A20" s="14"/>
      <c r="B20" s="38"/>
      <c r="C20" s="38"/>
      <c r="D20" s="4" t="s">
        <v>5</v>
      </c>
      <c r="E20" s="5"/>
      <c r="F20" s="5"/>
      <c r="G20" s="13" t="s">
        <v>35</v>
      </c>
      <c r="H20" s="1014">
        <v>1278053555</v>
      </c>
      <c r="I20" s="1015">
        <v>421531492</v>
      </c>
      <c r="J20" s="1015">
        <v>432343018</v>
      </c>
      <c r="K20" s="1015">
        <v>424179045</v>
      </c>
      <c r="L20" s="1016">
        <v>1122857050</v>
      </c>
      <c r="M20" s="1016">
        <v>398108006</v>
      </c>
      <c r="N20" s="1016">
        <v>386207158</v>
      </c>
      <c r="O20" s="1017">
        <v>338541886</v>
      </c>
      <c r="P20" s="1014">
        <v>1234565000</v>
      </c>
      <c r="Q20" s="1015">
        <v>395244000</v>
      </c>
      <c r="R20" s="1015">
        <v>411522000</v>
      </c>
      <c r="S20" s="1015">
        <v>427799000</v>
      </c>
      <c r="T20" s="1016">
        <v>1308607000</v>
      </c>
      <c r="U20" s="1016">
        <v>451092000</v>
      </c>
      <c r="V20" s="1016">
        <v>459011000</v>
      </c>
      <c r="W20" s="1017">
        <v>398504000</v>
      </c>
      <c r="X20" s="614"/>
      <c r="Y20" s="615"/>
      <c r="Z20" s="616"/>
      <c r="AA20" s="617"/>
      <c r="AB20" s="618"/>
      <c r="AC20" s="619"/>
      <c r="AD20" s="620"/>
      <c r="AE20" s="621"/>
    </row>
    <row r="21" spans="1:31" ht="15">
      <c r="A21" s="14"/>
      <c r="B21" s="38"/>
      <c r="C21" s="38"/>
      <c r="D21" s="4" t="s">
        <v>6</v>
      </c>
      <c r="E21" s="5"/>
      <c r="F21" s="5"/>
      <c r="G21" s="13" t="s">
        <v>35</v>
      </c>
      <c r="H21" s="1048" t="s">
        <v>52</v>
      </c>
      <c r="I21" s="1049" t="s">
        <v>52</v>
      </c>
      <c r="J21" s="1049" t="s">
        <v>52</v>
      </c>
      <c r="K21" s="1049" t="s">
        <v>52</v>
      </c>
      <c r="L21" s="1016">
        <v>9337081</v>
      </c>
      <c r="M21" s="1050" t="s">
        <v>52</v>
      </c>
      <c r="N21" s="1016">
        <v>4139158</v>
      </c>
      <c r="O21" s="1017">
        <v>5197923</v>
      </c>
      <c r="P21" s="1048" t="s">
        <v>52</v>
      </c>
      <c r="Q21" s="1049" t="s">
        <v>52</v>
      </c>
      <c r="R21" s="1049" t="s">
        <v>52</v>
      </c>
      <c r="S21" s="1049" t="s">
        <v>52</v>
      </c>
      <c r="T21" s="1016">
        <v>0</v>
      </c>
      <c r="U21" s="1016">
        <v>0</v>
      </c>
      <c r="V21" s="1016">
        <v>0</v>
      </c>
      <c r="W21" s="1017">
        <v>0</v>
      </c>
      <c r="X21" s="622"/>
      <c r="Y21" s="623"/>
      <c r="Z21" s="624"/>
      <c r="AA21" s="625"/>
      <c r="AB21" s="626"/>
      <c r="AC21" s="627"/>
      <c r="AD21" s="628"/>
      <c r="AE21" s="629"/>
    </row>
    <row r="22" spans="1:31" ht="15">
      <c r="A22" s="14"/>
      <c r="B22" s="38"/>
      <c r="C22" s="38"/>
      <c r="D22" s="4" t="s">
        <v>7</v>
      </c>
      <c r="E22" s="5"/>
      <c r="F22" s="5"/>
      <c r="G22" s="13" t="s">
        <v>35</v>
      </c>
      <c r="H22" s="1014">
        <v>170765479</v>
      </c>
      <c r="I22" s="1015">
        <v>55509770</v>
      </c>
      <c r="J22" s="1015">
        <v>55768795</v>
      </c>
      <c r="K22" s="1015">
        <v>59486914</v>
      </c>
      <c r="L22" s="1016">
        <v>206645921</v>
      </c>
      <c r="M22" s="1016">
        <v>66492478</v>
      </c>
      <c r="N22" s="1016">
        <v>65750923</v>
      </c>
      <c r="O22" s="1017">
        <v>74402520</v>
      </c>
      <c r="P22" s="1014">
        <v>209091000</v>
      </c>
      <c r="Q22" s="1015">
        <v>65933000</v>
      </c>
      <c r="R22" s="1015">
        <v>69698000</v>
      </c>
      <c r="S22" s="1015">
        <v>73460000</v>
      </c>
      <c r="T22" s="1016">
        <v>143608000</v>
      </c>
      <c r="U22" s="1016">
        <v>49029000</v>
      </c>
      <c r="V22" s="1016">
        <v>47893000</v>
      </c>
      <c r="W22" s="1017">
        <v>46686000</v>
      </c>
      <c r="X22" s="630"/>
      <c r="Y22" s="631"/>
      <c r="Z22" s="632"/>
      <c r="AA22" s="633"/>
      <c r="AB22" s="634"/>
      <c r="AC22" s="635"/>
      <c r="AD22" s="636"/>
      <c r="AE22" s="637"/>
    </row>
    <row r="23" spans="1:31" ht="15">
      <c r="A23" s="14"/>
      <c r="B23" s="38"/>
      <c r="C23" s="38"/>
      <c r="D23" s="4" t="s">
        <v>11</v>
      </c>
      <c r="E23" s="5"/>
      <c r="F23" s="5"/>
      <c r="G23" s="13" t="s">
        <v>35</v>
      </c>
      <c r="H23" s="1014">
        <v>235924629</v>
      </c>
      <c r="I23" s="1015">
        <v>74843946</v>
      </c>
      <c r="J23" s="1015">
        <v>72341343</v>
      </c>
      <c r="K23" s="1015">
        <v>88739340</v>
      </c>
      <c r="L23" s="1016">
        <v>303966328</v>
      </c>
      <c r="M23" s="1016">
        <v>93043374</v>
      </c>
      <c r="N23" s="1016">
        <v>109843989</v>
      </c>
      <c r="O23" s="1017">
        <v>101078965</v>
      </c>
      <c r="P23" s="1014">
        <v>222042000</v>
      </c>
      <c r="Q23" s="1015">
        <v>60780000</v>
      </c>
      <c r="R23" s="1015">
        <v>74344000</v>
      </c>
      <c r="S23" s="1015">
        <v>86918000</v>
      </c>
      <c r="T23" s="1016">
        <v>294122000</v>
      </c>
      <c r="U23" s="1016">
        <v>89636000</v>
      </c>
      <c r="V23" s="1016">
        <v>97456000</v>
      </c>
      <c r="W23" s="1017">
        <v>107030000</v>
      </c>
      <c r="X23" s="638"/>
      <c r="Y23" s="639"/>
      <c r="Z23" s="640"/>
      <c r="AA23" s="641"/>
      <c r="AB23" s="642"/>
      <c r="AC23" s="643"/>
      <c r="AD23" s="644"/>
      <c r="AE23" s="645"/>
    </row>
    <row r="24" spans="1:31" ht="15">
      <c r="A24" s="14"/>
      <c r="B24" s="38"/>
      <c r="C24" s="38"/>
      <c r="D24" s="4" t="s">
        <v>12</v>
      </c>
      <c r="E24" s="5"/>
      <c r="F24" s="5"/>
      <c r="G24" s="13" t="s">
        <v>35</v>
      </c>
      <c r="H24" s="1014">
        <v>39871982</v>
      </c>
      <c r="I24" s="1015">
        <v>19668930</v>
      </c>
      <c r="J24" s="1015">
        <v>13721142</v>
      </c>
      <c r="K24" s="1015">
        <v>6481910</v>
      </c>
      <c r="L24" s="1016">
        <v>19727744</v>
      </c>
      <c r="M24" s="1016">
        <v>6287601</v>
      </c>
      <c r="N24" s="1016">
        <v>6562997</v>
      </c>
      <c r="O24" s="1017">
        <v>6877146</v>
      </c>
      <c r="P24" s="1014">
        <v>75506000</v>
      </c>
      <c r="Q24" s="1015">
        <v>24391000</v>
      </c>
      <c r="R24" s="1015">
        <v>25169000</v>
      </c>
      <c r="S24" s="1015">
        <v>25946000</v>
      </c>
      <c r="T24" s="1016">
        <v>17035000</v>
      </c>
      <c r="U24" s="1016">
        <v>7271000</v>
      </c>
      <c r="V24" s="1016">
        <v>5551000</v>
      </c>
      <c r="W24" s="1017">
        <v>4213000</v>
      </c>
      <c r="X24" s="646"/>
      <c r="Y24" s="647"/>
      <c r="Z24" s="648"/>
      <c r="AA24" s="649"/>
      <c r="AB24" s="650"/>
      <c r="AC24" s="651"/>
      <c r="AD24" s="652"/>
      <c r="AE24" s="653"/>
    </row>
    <row r="25" spans="1:31" ht="15">
      <c r="A25" s="14"/>
      <c r="B25" s="38"/>
      <c r="C25" s="38"/>
      <c r="D25" s="4" t="s">
        <v>13</v>
      </c>
      <c r="E25" s="5"/>
      <c r="F25" s="5"/>
      <c r="G25" s="13" t="s">
        <v>35</v>
      </c>
      <c r="H25" s="1014">
        <v>0</v>
      </c>
      <c r="I25" s="1015">
        <v>0</v>
      </c>
      <c r="J25" s="1015">
        <v>0</v>
      </c>
      <c r="K25" s="1015">
        <v>0</v>
      </c>
      <c r="L25" s="1016">
        <v>0</v>
      </c>
      <c r="M25" s="1016">
        <v>0</v>
      </c>
      <c r="N25" s="1016">
        <v>0</v>
      </c>
      <c r="O25" s="1017">
        <v>0</v>
      </c>
      <c r="P25" s="1014">
        <v>0</v>
      </c>
      <c r="Q25" s="1015">
        <v>0</v>
      </c>
      <c r="R25" s="1015">
        <v>0</v>
      </c>
      <c r="S25" s="1015">
        <v>0</v>
      </c>
      <c r="T25" s="1016">
        <v>0</v>
      </c>
      <c r="U25" s="1016">
        <v>0</v>
      </c>
      <c r="V25" s="1016">
        <v>0</v>
      </c>
      <c r="W25" s="1017">
        <v>0</v>
      </c>
      <c r="X25" s="654"/>
      <c r="Y25" s="655"/>
      <c r="Z25" s="656"/>
      <c r="AA25" s="657"/>
      <c r="AB25" s="658"/>
      <c r="AC25" s="659"/>
      <c r="AD25" s="660"/>
      <c r="AE25" s="661"/>
    </row>
    <row r="26" spans="1:31" ht="15">
      <c r="A26" s="14"/>
      <c r="B26" s="38"/>
      <c r="C26" s="38"/>
      <c r="D26" s="4" t="s">
        <v>14</v>
      </c>
      <c r="E26" s="5"/>
      <c r="F26" s="5"/>
      <c r="G26" s="13" t="s">
        <v>35</v>
      </c>
      <c r="H26" s="1014">
        <v>140995467</v>
      </c>
      <c r="I26" s="1015">
        <v>47309598</v>
      </c>
      <c r="J26" s="1015">
        <v>48202092</v>
      </c>
      <c r="K26" s="1015">
        <v>45483777</v>
      </c>
      <c r="L26" s="1016">
        <v>144558268</v>
      </c>
      <c r="M26" s="1016">
        <v>49839142</v>
      </c>
      <c r="N26" s="1016">
        <v>48962495</v>
      </c>
      <c r="O26" s="1017">
        <v>45756631</v>
      </c>
      <c r="P26" s="1014">
        <v>141446000</v>
      </c>
      <c r="Q26" s="1015">
        <v>45348000</v>
      </c>
      <c r="R26" s="1015">
        <v>47148000</v>
      </c>
      <c r="S26" s="1015">
        <v>48950000</v>
      </c>
      <c r="T26" s="1016">
        <v>123986000</v>
      </c>
      <c r="U26" s="1016">
        <v>42386000</v>
      </c>
      <c r="V26" s="1016">
        <v>41342000</v>
      </c>
      <c r="W26" s="1017">
        <v>40258000</v>
      </c>
      <c r="X26" s="662"/>
      <c r="Y26" s="663"/>
      <c r="Z26" s="664"/>
      <c r="AA26" s="665"/>
      <c r="AB26" s="666"/>
      <c r="AC26" s="667"/>
      <c r="AD26" s="668"/>
      <c r="AE26" s="669"/>
    </row>
    <row r="27" spans="1:31" ht="15">
      <c r="A27" s="14"/>
      <c r="B27" s="38"/>
      <c r="C27" s="38"/>
      <c r="D27" s="4" t="s">
        <v>33</v>
      </c>
      <c r="E27" s="5"/>
      <c r="F27" s="5"/>
      <c r="G27" s="13" t="s">
        <v>35</v>
      </c>
      <c r="H27" s="1014">
        <v>5110079</v>
      </c>
      <c r="I27" s="1015">
        <v>1860457</v>
      </c>
      <c r="J27" s="1015">
        <v>1671560</v>
      </c>
      <c r="K27" s="1015">
        <v>1578062</v>
      </c>
      <c r="L27" s="1016">
        <v>3483136</v>
      </c>
      <c r="M27" s="1016">
        <v>1314802</v>
      </c>
      <c r="N27" s="1016">
        <v>1167956</v>
      </c>
      <c r="O27" s="1017">
        <v>1000378</v>
      </c>
      <c r="P27" s="1014">
        <v>4836000</v>
      </c>
      <c r="Q27" s="1015">
        <v>1684000</v>
      </c>
      <c r="R27" s="1015">
        <v>1612000</v>
      </c>
      <c r="S27" s="1015">
        <v>1540000</v>
      </c>
      <c r="T27" s="1016">
        <v>5720000</v>
      </c>
      <c r="U27" s="1016">
        <v>1818000</v>
      </c>
      <c r="V27" s="1016">
        <v>1920000</v>
      </c>
      <c r="W27" s="1017">
        <v>1982000</v>
      </c>
      <c r="X27" s="670"/>
      <c r="Y27" s="671"/>
      <c r="Z27" s="672"/>
      <c r="AA27" s="673"/>
      <c r="AB27" s="674"/>
      <c r="AC27" s="675"/>
      <c r="AD27" s="676"/>
      <c r="AE27" s="677"/>
    </row>
    <row r="28" spans="1:31" ht="15">
      <c r="A28" s="14"/>
      <c r="B28" s="38"/>
      <c r="C28" s="38"/>
      <c r="D28" s="4" t="s">
        <v>34</v>
      </c>
      <c r="E28" s="5"/>
      <c r="F28" s="5"/>
      <c r="G28" s="13" t="s">
        <v>35</v>
      </c>
      <c r="H28" s="1014">
        <v>9323368</v>
      </c>
      <c r="I28" s="1015">
        <v>3006632</v>
      </c>
      <c r="J28" s="1015">
        <v>3795881</v>
      </c>
      <c r="K28" s="1015">
        <v>2520855</v>
      </c>
      <c r="L28" s="1016">
        <v>8489014</v>
      </c>
      <c r="M28" s="1016">
        <v>3810530</v>
      </c>
      <c r="N28" s="1016">
        <v>2451937</v>
      </c>
      <c r="O28" s="1017">
        <v>2226547</v>
      </c>
      <c r="P28" s="1014">
        <v>5769000</v>
      </c>
      <c r="Q28" s="1015">
        <v>1869000</v>
      </c>
      <c r="R28" s="1015">
        <v>1923000</v>
      </c>
      <c r="S28" s="1015">
        <v>1977000</v>
      </c>
      <c r="T28" s="1016">
        <v>12243000</v>
      </c>
      <c r="U28" s="1016">
        <v>3927000</v>
      </c>
      <c r="V28" s="1016">
        <v>4063000</v>
      </c>
      <c r="W28" s="1017">
        <v>4253000</v>
      </c>
      <c r="X28" s="678"/>
      <c r="Y28" s="679"/>
      <c r="Z28" s="680"/>
      <c r="AA28" s="681"/>
      <c r="AB28" s="682"/>
      <c r="AC28" s="683"/>
      <c r="AD28" s="684"/>
      <c r="AE28" s="685"/>
    </row>
    <row r="29" spans="1:31" ht="15">
      <c r="A29" s="14"/>
      <c r="B29" s="38"/>
      <c r="C29" s="38"/>
      <c r="D29" s="4" t="s">
        <v>3</v>
      </c>
      <c r="E29" s="5"/>
      <c r="F29" s="5"/>
      <c r="G29" s="13" t="s">
        <v>35</v>
      </c>
      <c r="H29" s="1014">
        <v>0</v>
      </c>
      <c r="I29" s="1015">
        <v>0</v>
      </c>
      <c r="J29" s="1015">
        <v>0</v>
      </c>
      <c r="K29" s="1015">
        <v>0</v>
      </c>
      <c r="L29" s="1016">
        <v>0</v>
      </c>
      <c r="M29" s="1016">
        <v>0</v>
      </c>
      <c r="N29" s="1016">
        <v>0</v>
      </c>
      <c r="O29" s="1017">
        <v>0</v>
      </c>
      <c r="P29" s="1014">
        <v>0</v>
      </c>
      <c r="Q29" s="1015">
        <v>0</v>
      </c>
      <c r="R29" s="1015">
        <v>0</v>
      </c>
      <c r="S29" s="1015">
        <v>0</v>
      </c>
      <c r="T29" s="1016">
        <v>0</v>
      </c>
      <c r="U29" s="1016">
        <v>0</v>
      </c>
      <c r="V29" s="1016">
        <v>0</v>
      </c>
      <c r="W29" s="1017">
        <v>0</v>
      </c>
      <c r="X29" s="686"/>
      <c r="Y29" s="687"/>
      <c r="Z29" s="688"/>
      <c r="AA29" s="689"/>
      <c r="AB29" s="690"/>
      <c r="AC29" s="691"/>
      <c r="AD29" s="692"/>
      <c r="AE29" s="693"/>
    </row>
    <row r="30" spans="1:31" ht="15">
      <c r="A30" s="14"/>
      <c r="B30" s="38"/>
      <c r="C30" s="38"/>
      <c r="D30" s="4" t="s">
        <v>4</v>
      </c>
      <c r="E30" s="5"/>
      <c r="F30" s="5"/>
      <c r="G30" s="13" t="s">
        <v>35</v>
      </c>
      <c r="H30" s="1014">
        <v>0</v>
      </c>
      <c r="I30" s="1015">
        <v>0</v>
      </c>
      <c r="J30" s="1015">
        <v>0</v>
      </c>
      <c r="K30" s="1015">
        <v>0</v>
      </c>
      <c r="L30" s="1016">
        <v>0</v>
      </c>
      <c r="M30" s="1016">
        <v>0</v>
      </c>
      <c r="N30" s="1016">
        <v>0</v>
      </c>
      <c r="O30" s="1017">
        <v>0</v>
      </c>
      <c r="P30" s="1014">
        <v>0</v>
      </c>
      <c r="Q30" s="1015">
        <v>0</v>
      </c>
      <c r="R30" s="1015">
        <v>0</v>
      </c>
      <c r="S30" s="1015">
        <v>0</v>
      </c>
      <c r="T30" s="1016">
        <v>0</v>
      </c>
      <c r="U30" s="1016">
        <v>0</v>
      </c>
      <c r="V30" s="1016">
        <v>0</v>
      </c>
      <c r="W30" s="1017">
        <v>0</v>
      </c>
      <c r="X30" s="694"/>
      <c r="Y30" s="695"/>
      <c r="Z30" s="696"/>
      <c r="AA30" s="697"/>
      <c r="AB30" s="698"/>
      <c r="AC30" s="699"/>
      <c r="AD30" s="700"/>
      <c r="AE30" s="701"/>
    </row>
    <row r="31" spans="1:31" ht="15">
      <c r="A31" s="14"/>
      <c r="B31" s="38"/>
      <c r="C31" s="38"/>
      <c r="D31" s="4" t="s">
        <v>8</v>
      </c>
      <c r="E31" s="5"/>
      <c r="F31" s="5"/>
      <c r="G31" s="13" t="s">
        <v>35</v>
      </c>
      <c r="H31" s="1014">
        <v>117745704</v>
      </c>
      <c r="I31" s="1015">
        <v>38492082</v>
      </c>
      <c r="J31" s="1015">
        <v>38509101</v>
      </c>
      <c r="K31" s="1015">
        <v>40744521</v>
      </c>
      <c r="L31" s="1016">
        <v>105689972</v>
      </c>
      <c r="M31" s="1016">
        <v>38770620</v>
      </c>
      <c r="N31" s="1016">
        <v>38647087</v>
      </c>
      <c r="O31" s="1017">
        <v>28272265</v>
      </c>
      <c r="P31" s="1014">
        <v>101286000</v>
      </c>
      <c r="Q31" s="1015">
        <v>32537000</v>
      </c>
      <c r="R31" s="1015">
        <v>36278000</v>
      </c>
      <c r="S31" s="1015">
        <v>32471000</v>
      </c>
      <c r="T31" s="1016">
        <v>164154000</v>
      </c>
      <c r="U31" s="1016">
        <v>49887000</v>
      </c>
      <c r="V31" s="1016">
        <v>53091000</v>
      </c>
      <c r="W31" s="1017">
        <v>61176000</v>
      </c>
      <c r="X31" s="702"/>
      <c r="Y31" s="703"/>
      <c r="Z31" s="704"/>
      <c r="AA31" s="705"/>
      <c r="AB31" s="706"/>
      <c r="AC31" s="707"/>
      <c r="AD31" s="708"/>
      <c r="AE31" s="709"/>
    </row>
    <row r="32" spans="1:31" ht="15">
      <c r="A32" s="14"/>
      <c r="B32" s="38"/>
      <c r="C32" s="38"/>
      <c r="D32" s="4" t="s">
        <v>9</v>
      </c>
      <c r="E32" s="5"/>
      <c r="F32" s="5"/>
      <c r="G32" s="13" t="s">
        <v>35</v>
      </c>
      <c r="H32" s="1014">
        <v>0</v>
      </c>
      <c r="I32" s="1015">
        <v>0</v>
      </c>
      <c r="J32" s="1015">
        <v>0</v>
      </c>
      <c r="K32" s="1015">
        <v>0</v>
      </c>
      <c r="L32" s="1016">
        <v>0</v>
      </c>
      <c r="M32" s="1016">
        <v>0</v>
      </c>
      <c r="N32" s="1016">
        <v>0</v>
      </c>
      <c r="O32" s="1017">
        <v>0</v>
      </c>
      <c r="P32" s="1014">
        <v>0</v>
      </c>
      <c r="Q32" s="1015">
        <v>0</v>
      </c>
      <c r="R32" s="1015">
        <v>0</v>
      </c>
      <c r="S32" s="1015">
        <v>0</v>
      </c>
      <c r="T32" s="1016">
        <v>0</v>
      </c>
      <c r="U32" s="1016">
        <v>0</v>
      </c>
      <c r="V32" s="1016">
        <v>0</v>
      </c>
      <c r="W32" s="1017">
        <v>0</v>
      </c>
      <c r="X32" s="710"/>
      <c r="Y32" s="711"/>
      <c r="Z32" s="712"/>
      <c r="AA32" s="713"/>
      <c r="AB32" s="714"/>
      <c r="AC32" s="715"/>
      <c r="AD32" s="716"/>
      <c r="AE32" s="717"/>
    </row>
    <row r="33" spans="1:31" ht="15">
      <c r="A33" s="14"/>
      <c r="B33" s="38"/>
      <c r="C33" s="38"/>
      <c r="D33" s="4" t="s">
        <v>10</v>
      </c>
      <c r="E33" s="5"/>
      <c r="F33" s="5"/>
      <c r="G33" s="13" t="s">
        <v>35</v>
      </c>
      <c r="H33" s="1014">
        <v>0</v>
      </c>
      <c r="I33" s="1015">
        <v>0</v>
      </c>
      <c r="J33" s="1015">
        <v>0</v>
      </c>
      <c r="K33" s="1015">
        <v>0</v>
      </c>
      <c r="L33" s="1016">
        <v>0</v>
      </c>
      <c r="M33" s="1016">
        <v>0</v>
      </c>
      <c r="N33" s="1016">
        <v>0</v>
      </c>
      <c r="O33" s="1017">
        <v>0</v>
      </c>
      <c r="P33" s="1014">
        <v>0</v>
      </c>
      <c r="Q33" s="1015">
        <v>0</v>
      </c>
      <c r="R33" s="1015">
        <v>0</v>
      </c>
      <c r="S33" s="1015">
        <v>0</v>
      </c>
      <c r="T33" s="1016">
        <v>0</v>
      </c>
      <c r="U33" s="1016">
        <v>0</v>
      </c>
      <c r="V33" s="1016">
        <v>0</v>
      </c>
      <c r="W33" s="1017">
        <v>0</v>
      </c>
      <c r="X33" s="718"/>
      <c r="Y33" s="719"/>
      <c r="Z33" s="720"/>
      <c r="AA33" s="721"/>
      <c r="AB33" s="722"/>
      <c r="AC33" s="723"/>
      <c r="AD33" s="724"/>
      <c r="AE33" s="725"/>
    </row>
    <row r="34" spans="1:31" ht="15.75" thickBot="1">
      <c r="A34" s="40"/>
      <c r="B34" s="41"/>
      <c r="C34" s="41"/>
      <c r="D34" s="34" t="s">
        <v>15</v>
      </c>
      <c r="E34" s="43"/>
      <c r="F34" s="43"/>
      <c r="G34" s="44" t="s">
        <v>35</v>
      </c>
      <c r="H34" s="1020">
        <v>353505017</v>
      </c>
      <c r="I34" s="1021">
        <v>112833969</v>
      </c>
      <c r="J34" s="1021">
        <v>119161402</v>
      </c>
      <c r="K34" s="1021">
        <v>121509646</v>
      </c>
      <c r="L34" s="1022">
        <v>367860098</v>
      </c>
      <c r="M34" s="1022">
        <v>127275117</v>
      </c>
      <c r="N34" s="1022">
        <v>124396047</v>
      </c>
      <c r="O34" s="1023">
        <v>116188934</v>
      </c>
      <c r="P34" s="1020">
        <v>332914000</v>
      </c>
      <c r="Q34" s="1021">
        <v>108377000</v>
      </c>
      <c r="R34" s="1021">
        <v>110971000</v>
      </c>
      <c r="S34" s="1021">
        <v>113566000</v>
      </c>
      <c r="T34" s="1022">
        <v>380066000</v>
      </c>
      <c r="U34" s="1022">
        <v>124787000</v>
      </c>
      <c r="V34" s="1022">
        <v>127919000</v>
      </c>
      <c r="W34" s="1023">
        <v>127360000</v>
      </c>
      <c r="X34" s="726"/>
      <c r="Y34" s="727"/>
      <c r="Z34" s="728"/>
      <c r="AA34" s="729"/>
      <c r="AB34" s="730"/>
      <c r="AC34" s="731"/>
      <c r="AD34" s="732"/>
      <c r="AE34" s="733"/>
    </row>
    <row r="35" spans="1:31" ht="12" thickBot="1"/>
    <row r="36" spans="1:31" ht="15">
      <c r="A36" s="10"/>
      <c r="B36" s="11"/>
      <c r="C36" s="11"/>
      <c r="D36" s="11"/>
      <c r="E36" s="11"/>
      <c r="F36" s="11"/>
      <c r="G36" s="11"/>
      <c r="H36" s="1292" t="s">
        <v>40</v>
      </c>
      <c r="I36" s="1343"/>
      <c r="J36" s="1343"/>
      <c r="K36" s="1343"/>
      <c r="L36" s="1343"/>
      <c r="M36" s="1343"/>
      <c r="N36" s="1343"/>
      <c r="O36" s="1343"/>
      <c r="P36" s="1339"/>
      <c r="Q36" s="1330"/>
      <c r="R36" s="1330"/>
      <c r="S36" s="1330"/>
      <c r="T36" s="1330"/>
      <c r="U36" s="1330"/>
      <c r="V36" s="1330"/>
      <c r="W36" s="1330"/>
      <c r="X36" s="1330"/>
      <c r="Y36" s="1330"/>
      <c r="Z36" s="1330"/>
      <c r="AA36" s="1330"/>
      <c r="AB36" s="1330"/>
      <c r="AC36" s="1330"/>
      <c r="AD36" s="1330"/>
      <c r="AE36" s="1330"/>
    </row>
    <row r="37" spans="1:31" ht="15">
      <c r="A37" s="23"/>
      <c r="B37" s="24"/>
      <c r="C37" s="24"/>
      <c r="D37" s="24"/>
      <c r="E37" s="24"/>
      <c r="F37" s="24"/>
      <c r="G37" s="24"/>
      <c r="H37" s="16" t="s">
        <v>44</v>
      </c>
      <c r="I37" s="17"/>
      <c r="J37" s="17"/>
      <c r="K37" s="17"/>
      <c r="L37" s="26" t="s">
        <v>45</v>
      </c>
      <c r="M37" s="17"/>
      <c r="N37" s="17"/>
      <c r="O37" s="17"/>
      <c r="P37" s="493"/>
      <c r="Q37" s="93"/>
      <c r="R37" s="93"/>
      <c r="S37" s="93"/>
      <c r="T37" s="92"/>
      <c r="U37" s="93"/>
      <c r="V37" s="93"/>
      <c r="W37" s="93"/>
      <c r="X37" s="92"/>
      <c r="Y37" s="93"/>
      <c r="Z37" s="93"/>
      <c r="AA37" s="93"/>
      <c r="AB37" s="92"/>
      <c r="AC37" s="93"/>
      <c r="AD37" s="93"/>
      <c r="AE37" s="93"/>
    </row>
    <row r="38" spans="1:31" ht="15.75" thickBot="1">
      <c r="A38" s="19"/>
      <c r="B38" s="20"/>
      <c r="C38" s="20"/>
      <c r="D38" s="20"/>
      <c r="E38" s="20"/>
      <c r="F38" s="20"/>
      <c r="G38" s="20"/>
      <c r="H38" s="21" t="s">
        <v>30</v>
      </c>
      <c r="I38" s="25" t="s">
        <v>46</v>
      </c>
      <c r="J38" s="25" t="s">
        <v>47</v>
      </c>
      <c r="K38" s="25" t="s">
        <v>48</v>
      </c>
      <c r="L38" s="22" t="s">
        <v>30</v>
      </c>
      <c r="M38" s="25" t="s">
        <v>49</v>
      </c>
      <c r="N38" s="25" t="s">
        <v>50</v>
      </c>
      <c r="O38" s="57" t="s">
        <v>51</v>
      </c>
      <c r="P38" s="493"/>
      <c r="Q38" s="94"/>
      <c r="R38" s="94"/>
      <c r="S38" s="94"/>
      <c r="T38" s="92"/>
      <c r="U38" s="94"/>
      <c r="V38" s="94"/>
      <c r="W38" s="94"/>
      <c r="X38" s="92"/>
      <c r="Y38" s="94"/>
      <c r="Z38" s="94"/>
      <c r="AA38" s="94"/>
      <c r="AB38" s="92"/>
      <c r="AC38" s="94"/>
      <c r="AD38" s="94"/>
      <c r="AE38" s="94"/>
    </row>
    <row r="39" spans="1:31" ht="15.75" thickTop="1">
      <c r="A39" s="39" t="s">
        <v>20</v>
      </c>
      <c r="B39" s="36"/>
      <c r="C39" s="36"/>
      <c r="D39" s="53" t="s">
        <v>16</v>
      </c>
      <c r="E39" s="54"/>
      <c r="F39" s="54"/>
      <c r="G39" s="55" t="s">
        <v>41</v>
      </c>
      <c r="H39" s="1051">
        <v>88.4</v>
      </c>
      <c r="I39" s="1052">
        <v>93.8</v>
      </c>
      <c r="J39" s="1053">
        <v>85.4</v>
      </c>
      <c r="K39" s="1053">
        <v>87</v>
      </c>
      <c r="L39" s="1054">
        <v>103.5</v>
      </c>
      <c r="M39" s="1054">
        <v>101.4</v>
      </c>
      <c r="N39" s="1054">
        <v>102.8</v>
      </c>
      <c r="O39" s="1070">
        <v>106.2</v>
      </c>
      <c r="P39" s="974"/>
      <c r="Q39" s="734"/>
      <c r="R39" s="735"/>
      <c r="S39" s="736"/>
      <c r="T39" s="737"/>
      <c r="U39" s="738"/>
      <c r="V39" s="739"/>
      <c r="W39" s="740"/>
      <c r="X39" s="741"/>
      <c r="Y39" s="495"/>
      <c r="Z39" s="496"/>
      <c r="AA39" s="497"/>
      <c r="AB39" s="498"/>
      <c r="AC39" s="499"/>
      <c r="AD39" s="500"/>
      <c r="AE39" s="501"/>
    </row>
    <row r="40" spans="1:31" ht="15">
      <c r="A40" s="14"/>
      <c r="B40" s="38"/>
      <c r="C40" s="38"/>
      <c r="D40" s="4" t="s">
        <v>21</v>
      </c>
      <c r="E40" s="47"/>
      <c r="F40" s="47"/>
      <c r="G40" s="48" t="s">
        <v>35</v>
      </c>
      <c r="H40" s="1026">
        <v>89.2</v>
      </c>
      <c r="I40" s="1031">
        <v>92.7</v>
      </c>
      <c r="J40" s="1027">
        <v>88.1</v>
      </c>
      <c r="K40" s="1027">
        <v>86.9</v>
      </c>
      <c r="L40" s="1055">
        <v>86.6</v>
      </c>
      <c r="M40" s="1055">
        <v>88.4</v>
      </c>
      <c r="N40" s="1055">
        <v>87.2</v>
      </c>
      <c r="O40" s="1068">
        <v>84.5</v>
      </c>
      <c r="P40" s="975"/>
      <c r="Q40" s="742"/>
      <c r="R40" s="743"/>
      <c r="S40" s="744"/>
      <c r="T40" s="745"/>
      <c r="U40" s="746"/>
      <c r="V40" s="747"/>
      <c r="W40" s="748"/>
      <c r="X40" s="749"/>
      <c r="Y40" s="503"/>
      <c r="Z40" s="504"/>
      <c r="AA40" s="505"/>
      <c r="AB40" s="506"/>
      <c r="AC40" s="507"/>
      <c r="AD40" s="508"/>
      <c r="AE40" s="509"/>
    </row>
    <row r="41" spans="1:31" ht="15">
      <c r="A41" s="14"/>
      <c r="B41" s="38"/>
      <c r="C41" s="38"/>
      <c r="D41" s="4" t="s">
        <v>32</v>
      </c>
      <c r="E41" s="5"/>
      <c r="F41" s="5"/>
      <c r="G41" s="13" t="s">
        <v>35</v>
      </c>
      <c r="H41" s="1026">
        <v>86.1</v>
      </c>
      <c r="I41" s="1027">
        <v>20.2</v>
      </c>
      <c r="J41" s="1027">
        <v>69.900000000000006</v>
      </c>
      <c r="K41" s="1031">
        <v>95.6</v>
      </c>
      <c r="L41" s="1056">
        <v>116.1</v>
      </c>
      <c r="M41" s="1056">
        <v>113.8</v>
      </c>
      <c r="N41" s="1056">
        <v>114.8</v>
      </c>
      <c r="O41" s="1071">
        <v>119.9</v>
      </c>
      <c r="P41" s="976"/>
      <c r="Q41" s="750"/>
      <c r="R41" s="751"/>
      <c r="S41" s="752"/>
      <c r="T41" s="753"/>
      <c r="U41" s="754"/>
      <c r="V41" s="755"/>
      <c r="W41" s="756"/>
      <c r="X41" s="757"/>
      <c r="Y41" s="511"/>
      <c r="Z41" s="512"/>
      <c r="AA41" s="513"/>
      <c r="AB41" s="514"/>
      <c r="AC41" s="515"/>
      <c r="AD41" s="516"/>
      <c r="AE41" s="517"/>
    </row>
    <row r="42" spans="1:31" ht="15">
      <c r="A42" s="14"/>
      <c r="B42" s="38"/>
      <c r="C42" s="38"/>
      <c r="D42" s="4" t="s">
        <v>22</v>
      </c>
      <c r="E42" s="5"/>
      <c r="F42" s="5"/>
      <c r="G42" s="13" t="s">
        <v>35</v>
      </c>
      <c r="H42" s="1026">
        <v>86.5</v>
      </c>
      <c r="I42" s="1031">
        <v>94.6</v>
      </c>
      <c r="J42" s="1027">
        <v>84.8</v>
      </c>
      <c r="K42" s="1027">
        <v>80.099999999999994</v>
      </c>
      <c r="L42" s="1056">
        <v>119.5</v>
      </c>
      <c r="M42" s="1056">
        <v>112.5</v>
      </c>
      <c r="N42" s="1056">
        <v>116.3</v>
      </c>
      <c r="O42" s="1071">
        <v>129.6</v>
      </c>
      <c r="P42" s="977"/>
      <c r="Q42" s="758"/>
      <c r="R42" s="759"/>
      <c r="S42" s="760"/>
      <c r="T42" s="761"/>
      <c r="U42" s="762"/>
      <c r="V42" s="763"/>
      <c r="W42" s="764"/>
      <c r="X42" s="765"/>
      <c r="Y42" s="519"/>
      <c r="Z42" s="520"/>
      <c r="AA42" s="521"/>
      <c r="AB42" s="522"/>
      <c r="AC42" s="523"/>
      <c r="AD42" s="524"/>
      <c r="AE42" s="525"/>
    </row>
    <row r="43" spans="1:31" ht="15">
      <c r="A43" s="14"/>
      <c r="B43" s="38"/>
      <c r="C43" s="38"/>
      <c r="D43" s="49" t="s">
        <v>23</v>
      </c>
      <c r="E43" s="36"/>
      <c r="F43" s="36"/>
      <c r="G43" s="50" t="s">
        <v>35</v>
      </c>
      <c r="H43" s="1066">
        <v>96.4</v>
      </c>
      <c r="I43" s="1072">
        <v>117.9</v>
      </c>
      <c r="J43" s="1058">
        <v>95.3</v>
      </c>
      <c r="K43" s="1059">
        <v>76.5</v>
      </c>
      <c r="L43" s="1060">
        <v>236.1</v>
      </c>
      <c r="M43" s="1060">
        <v>173.6</v>
      </c>
      <c r="N43" s="1060">
        <v>234.4</v>
      </c>
      <c r="O43" s="1073">
        <v>300.39999999999998</v>
      </c>
      <c r="P43" s="978"/>
      <c r="Q43" s="766"/>
      <c r="R43" s="767"/>
      <c r="S43" s="768"/>
      <c r="T43" s="769"/>
      <c r="U43" s="770"/>
      <c r="V43" s="771"/>
      <c r="W43" s="772"/>
      <c r="X43" s="773"/>
      <c r="Y43" s="527"/>
      <c r="Z43" s="528"/>
      <c r="AA43" s="529"/>
      <c r="AB43" s="530"/>
      <c r="AC43" s="531"/>
      <c r="AD43" s="532"/>
      <c r="AE43" s="533"/>
    </row>
    <row r="44" spans="1:31" ht="15">
      <c r="A44" s="39" t="s">
        <v>2</v>
      </c>
      <c r="B44" s="36"/>
      <c r="C44" s="36"/>
      <c r="D44" s="53" t="s">
        <v>16</v>
      </c>
      <c r="E44" s="54"/>
      <c r="F44" s="54"/>
      <c r="G44" s="56" t="s">
        <v>35</v>
      </c>
      <c r="H44" s="1061">
        <v>107.2</v>
      </c>
      <c r="I44" s="1052">
        <v>106.1</v>
      </c>
      <c r="J44" s="1052">
        <v>104.1</v>
      </c>
      <c r="K44" s="1074">
        <v>111.6</v>
      </c>
      <c r="L44" s="1054">
        <v>99.2</v>
      </c>
      <c r="M44" s="1054">
        <v>102.1</v>
      </c>
      <c r="N44" s="1054">
        <v>100.3</v>
      </c>
      <c r="O44" s="1070">
        <v>95.4</v>
      </c>
      <c r="P44" s="979"/>
      <c r="Q44" s="774"/>
      <c r="R44" s="775"/>
      <c r="S44" s="776"/>
      <c r="T44" s="777"/>
      <c r="U44" s="778"/>
      <c r="V44" s="779"/>
      <c r="W44" s="780"/>
      <c r="X44" s="781"/>
      <c r="Y44" s="535"/>
      <c r="Z44" s="536"/>
      <c r="AA44" s="537"/>
      <c r="AB44" s="538"/>
      <c r="AC44" s="539"/>
      <c r="AD44" s="540"/>
      <c r="AE44" s="541"/>
    </row>
    <row r="45" spans="1:31" ht="15">
      <c r="A45" s="14"/>
      <c r="B45" s="38"/>
      <c r="C45" s="38"/>
      <c r="D45" s="4" t="s">
        <v>17</v>
      </c>
      <c r="E45" s="5"/>
      <c r="F45" s="5"/>
      <c r="G45" s="13" t="s">
        <v>35</v>
      </c>
      <c r="H45" s="1030">
        <v>92.9</v>
      </c>
      <c r="I45" s="1027">
        <v>85.5</v>
      </c>
      <c r="J45" s="1027">
        <v>80.599999999999994</v>
      </c>
      <c r="K45" s="1032">
        <v>111.4</v>
      </c>
      <c r="L45" s="1055">
        <v>55</v>
      </c>
      <c r="M45" s="1028">
        <v>100.4</v>
      </c>
      <c r="N45" s="1055">
        <v>59.9</v>
      </c>
      <c r="O45" s="1068">
        <v>25.1</v>
      </c>
      <c r="P45" s="980"/>
      <c r="Q45" s="782"/>
      <c r="R45" s="783"/>
      <c r="S45" s="784"/>
      <c r="T45" s="785"/>
      <c r="U45" s="786"/>
      <c r="V45" s="787"/>
      <c r="W45" s="788"/>
      <c r="X45" s="789"/>
      <c r="Y45" s="543"/>
      <c r="Z45" s="544"/>
      <c r="AA45" s="545"/>
      <c r="AB45" s="546"/>
      <c r="AC45" s="547"/>
      <c r="AD45" s="548"/>
      <c r="AE45" s="549"/>
    </row>
    <row r="46" spans="1:31" ht="15">
      <c r="A46" s="14"/>
      <c r="B46" s="38"/>
      <c r="C46" s="38"/>
      <c r="D46" s="4" t="s">
        <v>19</v>
      </c>
      <c r="E46" s="5"/>
      <c r="F46" s="5"/>
      <c r="G46" s="13" t="s">
        <v>35</v>
      </c>
      <c r="H46" s="1062" t="s">
        <v>52</v>
      </c>
      <c r="I46" s="1063" t="s">
        <v>52</v>
      </c>
      <c r="J46" s="1063" t="s">
        <v>52</v>
      </c>
      <c r="K46" s="1063" t="s">
        <v>52</v>
      </c>
      <c r="L46" s="1064" t="s">
        <v>52</v>
      </c>
      <c r="M46" s="1064" t="s">
        <v>52</v>
      </c>
      <c r="N46" s="1064" t="s">
        <v>52</v>
      </c>
      <c r="O46" s="1075" t="s">
        <v>52</v>
      </c>
      <c r="P46" s="981"/>
      <c r="Q46" s="790"/>
      <c r="R46" s="791"/>
      <c r="S46" s="792"/>
      <c r="T46" s="793"/>
      <c r="U46" s="794"/>
      <c r="V46" s="795"/>
      <c r="W46" s="796"/>
      <c r="X46" s="797"/>
      <c r="Y46" s="551"/>
      <c r="Z46" s="552"/>
      <c r="AA46" s="553"/>
      <c r="AB46" s="554"/>
      <c r="AC46" s="555"/>
      <c r="AD46" s="556"/>
      <c r="AE46" s="557"/>
    </row>
    <row r="47" spans="1:31" ht="15">
      <c r="A47" s="15"/>
      <c r="B47" s="37"/>
      <c r="C47" s="37"/>
      <c r="D47" s="4" t="s">
        <v>18</v>
      </c>
      <c r="E47" s="5"/>
      <c r="F47" s="5"/>
      <c r="G47" s="13" t="s">
        <v>35</v>
      </c>
      <c r="H47" s="1030">
        <v>107.9</v>
      </c>
      <c r="I47" s="1031">
        <v>107</v>
      </c>
      <c r="J47" s="1031">
        <v>105.2</v>
      </c>
      <c r="K47" s="1032">
        <v>111.6</v>
      </c>
      <c r="L47" s="1028">
        <v>102.2</v>
      </c>
      <c r="M47" s="1028">
        <v>102.2</v>
      </c>
      <c r="N47" s="1028">
        <v>103</v>
      </c>
      <c r="O47" s="1076">
        <v>101.3</v>
      </c>
      <c r="P47" s="982"/>
      <c r="Q47" s="798"/>
      <c r="R47" s="799"/>
      <c r="S47" s="800"/>
      <c r="T47" s="801"/>
      <c r="U47" s="802"/>
      <c r="V47" s="803"/>
      <c r="W47" s="804"/>
      <c r="X47" s="805"/>
      <c r="Y47" s="559"/>
      <c r="Z47" s="560"/>
      <c r="AA47" s="561"/>
      <c r="AB47" s="562"/>
      <c r="AC47" s="563"/>
      <c r="AD47" s="564"/>
      <c r="AE47" s="565"/>
    </row>
    <row r="48" spans="1:31" ht="15">
      <c r="A48" s="39" t="s">
        <v>1</v>
      </c>
      <c r="B48" s="36"/>
      <c r="C48" s="36"/>
      <c r="D48" s="53" t="s">
        <v>16</v>
      </c>
      <c r="E48" s="54"/>
      <c r="F48" s="54"/>
      <c r="G48" s="56" t="s">
        <v>35</v>
      </c>
      <c r="H48" s="1061">
        <v>107.5</v>
      </c>
      <c r="I48" s="1052">
        <v>108.2</v>
      </c>
      <c r="J48" s="1074">
        <v>110.5</v>
      </c>
      <c r="K48" s="1052">
        <v>104.1</v>
      </c>
      <c r="L48" s="1054">
        <v>92.1</v>
      </c>
      <c r="M48" s="1070">
        <v>95.9</v>
      </c>
      <c r="N48" s="1054">
        <v>91.5</v>
      </c>
      <c r="O48" s="1077">
        <v>88.8</v>
      </c>
      <c r="P48" s="983"/>
      <c r="Q48" s="806"/>
      <c r="R48" s="807"/>
      <c r="S48" s="808"/>
      <c r="T48" s="809"/>
      <c r="U48" s="810"/>
      <c r="V48" s="811"/>
      <c r="W48" s="812"/>
      <c r="X48" s="813"/>
      <c r="Y48" s="567"/>
      <c r="Z48" s="568"/>
      <c r="AA48" s="569"/>
      <c r="AB48" s="570"/>
      <c r="AC48" s="571"/>
      <c r="AD48" s="572"/>
      <c r="AE48" s="573"/>
    </row>
    <row r="49" spans="1:31" ht="15">
      <c r="A49" s="14"/>
      <c r="B49" s="38"/>
      <c r="C49" s="38"/>
      <c r="D49" s="4" t="s">
        <v>25</v>
      </c>
      <c r="E49" s="5"/>
      <c r="F49" s="5"/>
      <c r="G49" s="13" t="s">
        <v>35</v>
      </c>
      <c r="H49" s="1067">
        <v>136.9</v>
      </c>
      <c r="I49" s="1032">
        <v>118.4</v>
      </c>
      <c r="J49" s="1032">
        <v>153.19999999999999</v>
      </c>
      <c r="K49" s="1032">
        <v>141.80000000000001</v>
      </c>
      <c r="L49" s="1055">
        <v>86.5</v>
      </c>
      <c r="M49" s="1028">
        <v>93.2</v>
      </c>
      <c r="N49" s="1055">
        <v>82.6</v>
      </c>
      <c r="O49" s="1068">
        <v>84.3</v>
      </c>
      <c r="P49" s="984"/>
      <c r="Q49" s="814"/>
      <c r="R49" s="815"/>
      <c r="S49" s="816"/>
      <c r="T49" s="817"/>
      <c r="U49" s="818"/>
      <c r="V49" s="819"/>
      <c r="W49" s="820"/>
      <c r="X49" s="821"/>
      <c r="Y49" s="575"/>
      <c r="Z49" s="576"/>
      <c r="AA49" s="577"/>
      <c r="AB49" s="578"/>
      <c r="AC49" s="579"/>
      <c r="AD49" s="580"/>
      <c r="AE49" s="581"/>
    </row>
    <row r="50" spans="1:31" ht="15">
      <c r="A50" s="14"/>
      <c r="B50" s="38"/>
      <c r="C50" s="38"/>
      <c r="D50" s="4" t="s">
        <v>26</v>
      </c>
      <c r="E50" s="5"/>
      <c r="F50" s="5"/>
      <c r="G50" s="13" t="s">
        <v>35</v>
      </c>
      <c r="H50" s="1030">
        <v>95.4</v>
      </c>
      <c r="I50" s="1031">
        <v>107.8</v>
      </c>
      <c r="J50" s="1031">
        <v>100.8</v>
      </c>
      <c r="K50" s="1027">
        <v>78.599999999999994</v>
      </c>
      <c r="L50" s="1028">
        <v>90.9</v>
      </c>
      <c r="M50" s="1056">
        <v>126.6</v>
      </c>
      <c r="N50" s="1028">
        <v>102.6</v>
      </c>
      <c r="O50" s="1068">
        <v>60.7</v>
      </c>
      <c r="P50" s="985"/>
      <c r="Q50" s="822"/>
      <c r="R50" s="823"/>
      <c r="S50" s="824"/>
      <c r="T50" s="825"/>
      <c r="U50" s="826"/>
      <c r="V50" s="827"/>
      <c r="W50" s="828"/>
      <c r="X50" s="829"/>
      <c r="Y50" s="583"/>
      <c r="Z50" s="584"/>
      <c r="AA50" s="585"/>
      <c r="AB50" s="586"/>
      <c r="AC50" s="587"/>
      <c r="AD50" s="588"/>
      <c r="AE50" s="589"/>
    </row>
    <row r="51" spans="1:31" ht="15">
      <c r="A51" s="14"/>
      <c r="B51" s="38"/>
      <c r="C51" s="38"/>
      <c r="D51" s="4" t="s">
        <v>27</v>
      </c>
      <c r="E51" s="5"/>
      <c r="F51" s="5"/>
      <c r="G51" s="13" t="s">
        <v>35</v>
      </c>
      <c r="H51" s="1067">
        <v>115.9</v>
      </c>
      <c r="I51" s="1032">
        <v>110</v>
      </c>
      <c r="J51" s="1032">
        <v>137</v>
      </c>
      <c r="K51" s="1031">
        <v>104.1</v>
      </c>
      <c r="L51" s="1028">
        <v>102.4</v>
      </c>
      <c r="M51" s="1056">
        <v>110.5</v>
      </c>
      <c r="N51" s="1028">
        <v>99.8</v>
      </c>
      <c r="O51" s="1076">
        <v>96.2</v>
      </c>
      <c r="P51" s="986"/>
      <c r="Q51" s="830"/>
      <c r="R51" s="831"/>
      <c r="S51" s="832"/>
      <c r="T51" s="833"/>
      <c r="U51" s="834"/>
      <c r="V51" s="835"/>
      <c r="W51" s="836"/>
      <c r="X51" s="837"/>
      <c r="Y51" s="591"/>
      <c r="Z51" s="592"/>
      <c r="AA51" s="593"/>
      <c r="AB51" s="594"/>
      <c r="AC51" s="595"/>
      <c r="AD51" s="596"/>
      <c r="AE51" s="597"/>
    </row>
    <row r="52" spans="1:31" ht="15">
      <c r="A52" s="14"/>
      <c r="B52" s="38"/>
      <c r="C52" s="38"/>
      <c r="D52" s="4" t="s">
        <v>28</v>
      </c>
      <c r="E52" s="5"/>
      <c r="F52" s="5"/>
      <c r="G52" s="13" t="s">
        <v>35</v>
      </c>
      <c r="H52" s="1030">
        <v>100.9</v>
      </c>
      <c r="I52" s="1032">
        <v>122.9</v>
      </c>
      <c r="J52" s="1027">
        <v>75.599999999999994</v>
      </c>
      <c r="K52" s="1031">
        <v>103.7</v>
      </c>
      <c r="L52" s="1056">
        <v>134.19999999999999</v>
      </c>
      <c r="M52" s="1056">
        <v>110.5</v>
      </c>
      <c r="N52" s="1056">
        <v>191.8</v>
      </c>
      <c r="O52" s="1076">
        <v>99.6</v>
      </c>
      <c r="P52" s="987"/>
      <c r="Q52" s="838"/>
      <c r="R52" s="839"/>
      <c r="S52" s="840"/>
      <c r="T52" s="841"/>
      <c r="U52" s="842"/>
      <c r="V52" s="843"/>
      <c r="W52" s="844"/>
      <c r="X52" s="845"/>
      <c r="Y52" s="599"/>
      <c r="Z52" s="600"/>
      <c r="AA52" s="601"/>
      <c r="AB52" s="602"/>
      <c r="AC52" s="603"/>
      <c r="AD52" s="604"/>
      <c r="AE52" s="605"/>
    </row>
    <row r="53" spans="1:31" ht="15">
      <c r="A53" s="14"/>
      <c r="B53" s="38"/>
      <c r="C53" s="38"/>
      <c r="D53" s="4" t="s">
        <v>29</v>
      </c>
      <c r="E53" s="5"/>
      <c r="F53" s="5"/>
      <c r="G53" s="13" t="s">
        <v>35</v>
      </c>
      <c r="H53" s="1067">
        <v>149.80000000000001</v>
      </c>
      <c r="I53" s="1032">
        <v>153.80000000000001</v>
      </c>
      <c r="J53" s="1032">
        <v>164.3</v>
      </c>
      <c r="K53" s="1032">
        <v>132.30000000000001</v>
      </c>
      <c r="L53" s="1055">
        <v>76.7</v>
      </c>
      <c r="M53" s="1028">
        <v>90.9</v>
      </c>
      <c r="N53" s="1055">
        <v>72.3</v>
      </c>
      <c r="O53" s="1068">
        <v>66.3</v>
      </c>
      <c r="P53" s="988"/>
      <c r="Q53" s="846"/>
      <c r="R53" s="847"/>
      <c r="S53" s="848"/>
      <c r="T53" s="849"/>
      <c r="U53" s="850"/>
      <c r="V53" s="851"/>
      <c r="W53" s="852"/>
      <c r="X53" s="853"/>
      <c r="Y53" s="607"/>
      <c r="Z53" s="608"/>
      <c r="AA53" s="609"/>
      <c r="AB53" s="610"/>
      <c r="AC53" s="611"/>
      <c r="AD53" s="612"/>
      <c r="AE53" s="613"/>
    </row>
    <row r="54" spans="1:31" ht="15">
      <c r="A54" s="14"/>
      <c r="B54" s="38"/>
      <c r="C54" s="38"/>
      <c r="D54" s="4" t="s">
        <v>5</v>
      </c>
      <c r="E54" s="5"/>
      <c r="F54" s="5"/>
      <c r="G54" s="13" t="s">
        <v>35</v>
      </c>
      <c r="H54" s="1030">
        <v>103.5</v>
      </c>
      <c r="I54" s="1031">
        <v>106.7</v>
      </c>
      <c r="J54" s="1031">
        <v>105.1</v>
      </c>
      <c r="K54" s="1031">
        <v>99.2</v>
      </c>
      <c r="L54" s="1055">
        <v>85.8</v>
      </c>
      <c r="M54" s="1055">
        <v>88.3</v>
      </c>
      <c r="N54" s="1055">
        <v>84.1</v>
      </c>
      <c r="O54" s="1068">
        <v>85</v>
      </c>
      <c r="P54" s="989"/>
      <c r="Q54" s="854"/>
      <c r="R54" s="855"/>
      <c r="S54" s="856"/>
      <c r="T54" s="857"/>
      <c r="U54" s="858"/>
      <c r="V54" s="859"/>
      <c r="W54" s="860"/>
      <c r="X54" s="861"/>
      <c r="Y54" s="615"/>
      <c r="Z54" s="616"/>
      <c r="AA54" s="617"/>
      <c r="AB54" s="618"/>
      <c r="AC54" s="619"/>
      <c r="AD54" s="620"/>
      <c r="AE54" s="621"/>
    </row>
    <row r="55" spans="1:31" ht="15">
      <c r="A55" s="14"/>
      <c r="B55" s="38"/>
      <c r="C55" s="38"/>
      <c r="D55" s="4" t="s">
        <v>6</v>
      </c>
      <c r="E55" s="5"/>
      <c r="F55" s="5"/>
      <c r="G55" s="13" t="s">
        <v>35</v>
      </c>
      <c r="H55" s="1062" t="s">
        <v>52</v>
      </c>
      <c r="I55" s="1063" t="s">
        <v>52</v>
      </c>
      <c r="J55" s="1063" t="s">
        <v>52</v>
      </c>
      <c r="K55" s="1063" t="s">
        <v>52</v>
      </c>
      <c r="L55" s="1064" t="s">
        <v>52</v>
      </c>
      <c r="M55" s="1064" t="s">
        <v>52</v>
      </c>
      <c r="N55" s="1064" t="s">
        <v>52</v>
      </c>
      <c r="O55" s="1075" t="s">
        <v>52</v>
      </c>
      <c r="P55" s="990"/>
      <c r="Q55" s="862"/>
      <c r="R55" s="863"/>
      <c r="S55" s="864"/>
      <c r="T55" s="865"/>
      <c r="U55" s="866"/>
      <c r="V55" s="867"/>
      <c r="W55" s="868"/>
      <c r="X55" s="869"/>
      <c r="Y55" s="623"/>
      <c r="Z55" s="624"/>
      <c r="AA55" s="625"/>
      <c r="AB55" s="626"/>
      <c r="AC55" s="627"/>
      <c r="AD55" s="628"/>
      <c r="AE55" s="629"/>
    </row>
    <row r="56" spans="1:31" ht="15">
      <c r="A56" s="14"/>
      <c r="B56" s="38"/>
      <c r="C56" s="38"/>
      <c r="D56" s="4" t="s">
        <v>7</v>
      </c>
      <c r="E56" s="5"/>
      <c r="F56" s="5"/>
      <c r="G56" s="13" t="s">
        <v>35</v>
      </c>
      <c r="H56" s="1026">
        <v>81.7</v>
      </c>
      <c r="I56" s="1027">
        <v>84.2</v>
      </c>
      <c r="J56" s="1027">
        <v>80</v>
      </c>
      <c r="K56" s="1027">
        <v>81</v>
      </c>
      <c r="L56" s="1056">
        <v>143.9</v>
      </c>
      <c r="M56" s="1056">
        <v>135.6</v>
      </c>
      <c r="N56" s="1056">
        <v>137.30000000000001</v>
      </c>
      <c r="O56" s="1071">
        <v>159.4</v>
      </c>
      <c r="P56" s="991"/>
      <c r="Q56" s="870"/>
      <c r="R56" s="871"/>
      <c r="S56" s="872"/>
      <c r="T56" s="873"/>
      <c r="U56" s="874"/>
      <c r="V56" s="875"/>
      <c r="W56" s="876"/>
      <c r="X56" s="877"/>
      <c r="Y56" s="631"/>
      <c r="Z56" s="632"/>
      <c r="AA56" s="633"/>
      <c r="AB56" s="634"/>
      <c r="AC56" s="635"/>
      <c r="AD56" s="636"/>
      <c r="AE56" s="637"/>
    </row>
    <row r="57" spans="1:31" ht="15">
      <c r="A57" s="14"/>
      <c r="B57" s="38"/>
      <c r="C57" s="38"/>
      <c r="D57" s="4" t="s">
        <v>11</v>
      </c>
      <c r="E57" s="5"/>
      <c r="F57" s="5"/>
      <c r="G57" s="13" t="s">
        <v>35</v>
      </c>
      <c r="H57" s="1030">
        <v>106.3</v>
      </c>
      <c r="I57" s="1032">
        <v>123.1</v>
      </c>
      <c r="J57" s="1031">
        <v>97.3</v>
      </c>
      <c r="K57" s="1031">
        <v>102.1</v>
      </c>
      <c r="L57" s="1028">
        <v>103.3</v>
      </c>
      <c r="M57" s="1028">
        <v>103.8</v>
      </c>
      <c r="N57" s="1056">
        <v>112.7</v>
      </c>
      <c r="O57" s="1076">
        <v>94.4</v>
      </c>
      <c r="P57" s="992"/>
      <c r="Q57" s="878"/>
      <c r="R57" s="879"/>
      <c r="S57" s="880"/>
      <c r="T57" s="881"/>
      <c r="U57" s="882"/>
      <c r="V57" s="883"/>
      <c r="W57" s="884"/>
      <c r="X57" s="885"/>
      <c r="Y57" s="639"/>
      <c r="Z57" s="640"/>
      <c r="AA57" s="641"/>
      <c r="AB57" s="642"/>
      <c r="AC57" s="643"/>
      <c r="AD57" s="644"/>
      <c r="AE57" s="645"/>
    </row>
    <row r="58" spans="1:31" ht="15">
      <c r="A58" s="14"/>
      <c r="B58" s="38"/>
      <c r="C58" s="38"/>
      <c r="D58" s="4" t="s">
        <v>12</v>
      </c>
      <c r="E58" s="5"/>
      <c r="F58" s="5"/>
      <c r="G58" s="13" t="s">
        <v>35</v>
      </c>
      <c r="H58" s="1026">
        <v>52.8</v>
      </c>
      <c r="I58" s="1027">
        <v>80.599999999999994</v>
      </c>
      <c r="J58" s="1027">
        <v>54.5</v>
      </c>
      <c r="K58" s="1027">
        <v>25</v>
      </c>
      <c r="L58" s="1056">
        <v>115.8</v>
      </c>
      <c r="M58" s="1055">
        <v>86.5</v>
      </c>
      <c r="N58" s="1056">
        <v>118.2</v>
      </c>
      <c r="O58" s="1071">
        <v>163.19999999999999</v>
      </c>
      <c r="P58" s="993"/>
      <c r="Q58" s="886"/>
      <c r="R58" s="887"/>
      <c r="S58" s="888"/>
      <c r="T58" s="889"/>
      <c r="U58" s="890"/>
      <c r="V58" s="891"/>
      <c r="W58" s="892"/>
      <c r="X58" s="893"/>
      <c r="Y58" s="647"/>
      <c r="Z58" s="648"/>
      <c r="AA58" s="649"/>
      <c r="AB58" s="650"/>
      <c r="AC58" s="651"/>
      <c r="AD58" s="652"/>
      <c r="AE58" s="653"/>
    </row>
    <row r="59" spans="1:31" ht="15">
      <c r="A59" s="14"/>
      <c r="B59" s="38"/>
      <c r="C59" s="38"/>
      <c r="D59" s="4" t="s">
        <v>13</v>
      </c>
      <c r="E59" s="5"/>
      <c r="F59" s="5"/>
      <c r="G59" s="13" t="s">
        <v>35</v>
      </c>
      <c r="H59" s="1062" t="s">
        <v>52</v>
      </c>
      <c r="I59" s="1063" t="s">
        <v>52</v>
      </c>
      <c r="J59" s="1063" t="s">
        <v>52</v>
      </c>
      <c r="K59" s="1063" t="s">
        <v>52</v>
      </c>
      <c r="L59" s="1064" t="s">
        <v>52</v>
      </c>
      <c r="M59" s="1064" t="s">
        <v>52</v>
      </c>
      <c r="N59" s="1064" t="s">
        <v>52</v>
      </c>
      <c r="O59" s="1075" t="s">
        <v>52</v>
      </c>
      <c r="P59" s="994"/>
      <c r="Q59" s="894"/>
      <c r="R59" s="895"/>
      <c r="S59" s="896"/>
      <c r="T59" s="897"/>
      <c r="U59" s="898"/>
      <c r="V59" s="899"/>
      <c r="W59" s="900"/>
      <c r="X59" s="901"/>
      <c r="Y59" s="655"/>
      <c r="Z59" s="656"/>
      <c r="AA59" s="657"/>
      <c r="AB59" s="658"/>
      <c r="AC59" s="659"/>
      <c r="AD59" s="660"/>
      <c r="AE59" s="661"/>
    </row>
    <row r="60" spans="1:31" ht="15">
      <c r="A60" s="14"/>
      <c r="B60" s="38"/>
      <c r="C60" s="38"/>
      <c r="D60" s="4" t="s">
        <v>14</v>
      </c>
      <c r="E60" s="5"/>
      <c r="F60" s="5"/>
      <c r="G60" s="13" t="s">
        <v>35</v>
      </c>
      <c r="H60" s="1030">
        <v>99.7</v>
      </c>
      <c r="I60" s="1031">
        <v>104.3</v>
      </c>
      <c r="J60" s="1031">
        <v>102.2</v>
      </c>
      <c r="K60" s="1031">
        <v>92.9</v>
      </c>
      <c r="L60" s="1056">
        <v>116.6</v>
      </c>
      <c r="M60" s="1056">
        <v>117.6</v>
      </c>
      <c r="N60" s="1056">
        <v>118.4</v>
      </c>
      <c r="O60" s="1071">
        <v>113.7</v>
      </c>
      <c r="P60" s="995"/>
      <c r="Q60" s="902"/>
      <c r="R60" s="903"/>
      <c r="S60" s="904"/>
      <c r="T60" s="905"/>
      <c r="U60" s="906"/>
      <c r="V60" s="907"/>
      <c r="W60" s="908"/>
      <c r="X60" s="909"/>
      <c r="Y60" s="663"/>
      <c r="Z60" s="664"/>
      <c r="AA60" s="665"/>
      <c r="AB60" s="666"/>
      <c r="AC60" s="667"/>
      <c r="AD60" s="668"/>
      <c r="AE60" s="669"/>
    </row>
    <row r="61" spans="1:31" ht="15">
      <c r="A61" s="14"/>
      <c r="B61" s="38"/>
      <c r="C61" s="38"/>
      <c r="D61" s="4" t="s">
        <v>33</v>
      </c>
      <c r="E61" s="5"/>
      <c r="F61" s="5"/>
      <c r="G61" s="13" t="s">
        <v>35</v>
      </c>
      <c r="H61" s="1030">
        <v>105.7</v>
      </c>
      <c r="I61" s="1032">
        <v>110.5</v>
      </c>
      <c r="J61" s="1031">
        <v>103.7</v>
      </c>
      <c r="K61" s="1031">
        <v>102.5</v>
      </c>
      <c r="L61" s="1055">
        <v>60.9</v>
      </c>
      <c r="M61" s="1055">
        <v>72.3</v>
      </c>
      <c r="N61" s="1055">
        <v>60.8</v>
      </c>
      <c r="O61" s="1068">
        <v>50.5</v>
      </c>
      <c r="P61" s="996"/>
      <c r="Q61" s="910"/>
      <c r="R61" s="911"/>
      <c r="S61" s="912"/>
      <c r="T61" s="913"/>
      <c r="U61" s="914"/>
      <c r="V61" s="915"/>
      <c r="W61" s="916"/>
      <c r="X61" s="917"/>
      <c r="Y61" s="671"/>
      <c r="Z61" s="672"/>
      <c r="AA61" s="673"/>
      <c r="AB61" s="674"/>
      <c r="AC61" s="675"/>
      <c r="AD61" s="676"/>
      <c r="AE61" s="677"/>
    </row>
    <row r="62" spans="1:31" ht="15">
      <c r="A62" s="14"/>
      <c r="B62" s="38"/>
      <c r="C62" s="38"/>
      <c r="D62" s="4" t="s">
        <v>34</v>
      </c>
      <c r="E62" s="5"/>
      <c r="F62" s="5"/>
      <c r="G62" s="13" t="s">
        <v>35</v>
      </c>
      <c r="H62" s="1067">
        <v>161.6</v>
      </c>
      <c r="I62" s="1032">
        <v>160.9</v>
      </c>
      <c r="J62" s="1032">
        <v>197.4</v>
      </c>
      <c r="K62" s="1032">
        <v>127.5</v>
      </c>
      <c r="L62" s="1055">
        <v>69.3</v>
      </c>
      <c r="M62" s="1028">
        <v>97</v>
      </c>
      <c r="N62" s="1055">
        <v>60.3</v>
      </c>
      <c r="O62" s="1068">
        <v>52.4</v>
      </c>
      <c r="P62" s="997"/>
      <c r="Q62" s="918"/>
      <c r="R62" s="919"/>
      <c r="S62" s="920"/>
      <c r="T62" s="921"/>
      <c r="U62" s="922"/>
      <c r="V62" s="923"/>
      <c r="W62" s="924"/>
      <c r="X62" s="925"/>
      <c r="Y62" s="679"/>
      <c r="Z62" s="680"/>
      <c r="AA62" s="681"/>
      <c r="AB62" s="682"/>
      <c r="AC62" s="683"/>
      <c r="AD62" s="684"/>
      <c r="AE62" s="685"/>
    </row>
    <row r="63" spans="1:31" ht="15">
      <c r="A63" s="14"/>
      <c r="B63" s="38"/>
      <c r="C63" s="38"/>
      <c r="D63" s="4" t="s">
        <v>3</v>
      </c>
      <c r="E63" s="5"/>
      <c r="F63" s="5"/>
      <c r="G63" s="13" t="s">
        <v>35</v>
      </c>
      <c r="H63" s="1062" t="s">
        <v>52</v>
      </c>
      <c r="I63" s="1063" t="s">
        <v>52</v>
      </c>
      <c r="J63" s="1063" t="s">
        <v>52</v>
      </c>
      <c r="K63" s="1063" t="s">
        <v>52</v>
      </c>
      <c r="L63" s="1064" t="s">
        <v>52</v>
      </c>
      <c r="M63" s="1064" t="s">
        <v>52</v>
      </c>
      <c r="N63" s="1064" t="s">
        <v>52</v>
      </c>
      <c r="O63" s="1075" t="s">
        <v>52</v>
      </c>
      <c r="P63" s="998"/>
      <c r="Q63" s="926"/>
      <c r="R63" s="927"/>
      <c r="S63" s="928"/>
      <c r="T63" s="929"/>
      <c r="U63" s="930"/>
      <c r="V63" s="931"/>
      <c r="W63" s="932"/>
      <c r="X63" s="933"/>
      <c r="Y63" s="687"/>
      <c r="Z63" s="688"/>
      <c r="AA63" s="689"/>
      <c r="AB63" s="690"/>
      <c r="AC63" s="691"/>
      <c r="AD63" s="692"/>
      <c r="AE63" s="693"/>
    </row>
    <row r="64" spans="1:31" ht="15">
      <c r="A64" s="14"/>
      <c r="B64" s="38"/>
      <c r="C64" s="38"/>
      <c r="D64" s="4" t="s">
        <v>4</v>
      </c>
      <c r="E64" s="5"/>
      <c r="F64" s="5"/>
      <c r="G64" s="13" t="s">
        <v>35</v>
      </c>
      <c r="H64" s="1062" t="s">
        <v>52</v>
      </c>
      <c r="I64" s="1063" t="s">
        <v>52</v>
      </c>
      <c r="J64" s="1063" t="s">
        <v>52</v>
      </c>
      <c r="K64" s="1063" t="s">
        <v>52</v>
      </c>
      <c r="L64" s="1064" t="s">
        <v>52</v>
      </c>
      <c r="M64" s="1064" t="s">
        <v>52</v>
      </c>
      <c r="N64" s="1064" t="s">
        <v>52</v>
      </c>
      <c r="O64" s="1075" t="s">
        <v>52</v>
      </c>
      <c r="P64" s="999"/>
      <c r="Q64" s="934"/>
      <c r="R64" s="935"/>
      <c r="S64" s="936"/>
      <c r="T64" s="937"/>
      <c r="U64" s="938"/>
      <c r="V64" s="939"/>
      <c r="W64" s="940"/>
      <c r="X64" s="941"/>
      <c r="Y64" s="695"/>
      <c r="Z64" s="696"/>
      <c r="AA64" s="697"/>
      <c r="AB64" s="698"/>
      <c r="AC64" s="699"/>
      <c r="AD64" s="700"/>
      <c r="AE64" s="701"/>
    </row>
    <row r="65" spans="1:31" ht="15">
      <c r="A65" s="14"/>
      <c r="B65" s="38"/>
      <c r="C65" s="38"/>
      <c r="D65" s="4" t="s">
        <v>8</v>
      </c>
      <c r="E65" s="5"/>
      <c r="F65" s="5"/>
      <c r="G65" s="13" t="s">
        <v>35</v>
      </c>
      <c r="H65" s="1067">
        <v>116.3</v>
      </c>
      <c r="I65" s="1032">
        <v>118.3</v>
      </c>
      <c r="J65" s="1031">
        <v>106.2</v>
      </c>
      <c r="K65" s="1032">
        <v>125.5</v>
      </c>
      <c r="L65" s="1055">
        <v>64.400000000000006</v>
      </c>
      <c r="M65" s="1055">
        <v>77.7</v>
      </c>
      <c r="N65" s="1055">
        <v>72.8</v>
      </c>
      <c r="O65" s="1068">
        <v>46.2</v>
      </c>
      <c r="P65" s="1000"/>
      <c r="Q65" s="942"/>
      <c r="R65" s="943"/>
      <c r="S65" s="944"/>
      <c r="T65" s="945"/>
      <c r="U65" s="946"/>
      <c r="V65" s="947"/>
      <c r="W65" s="948"/>
      <c r="X65" s="949"/>
      <c r="Y65" s="703"/>
      <c r="Z65" s="704"/>
      <c r="AA65" s="705"/>
      <c r="AB65" s="706"/>
      <c r="AC65" s="707"/>
      <c r="AD65" s="708"/>
      <c r="AE65" s="709"/>
    </row>
    <row r="66" spans="1:31" ht="15">
      <c r="A66" s="14"/>
      <c r="B66" s="38"/>
      <c r="C66" s="38"/>
      <c r="D66" s="4" t="s">
        <v>9</v>
      </c>
      <c r="E66" s="5"/>
      <c r="F66" s="5"/>
      <c r="G66" s="13" t="s">
        <v>35</v>
      </c>
      <c r="H66" s="1062" t="s">
        <v>52</v>
      </c>
      <c r="I66" s="1063" t="s">
        <v>52</v>
      </c>
      <c r="J66" s="1063" t="s">
        <v>52</v>
      </c>
      <c r="K66" s="1063" t="s">
        <v>52</v>
      </c>
      <c r="L66" s="1064" t="s">
        <v>52</v>
      </c>
      <c r="M66" s="1064" t="s">
        <v>52</v>
      </c>
      <c r="N66" s="1064" t="s">
        <v>52</v>
      </c>
      <c r="O66" s="1075" t="s">
        <v>52</v>
      </c>
      <c r="P66" s="1001"/>
      <c r="Q66" s="950"/>
      <c r="R66" s="951"/>
      <c r="S66" s="952"/>
      <c r="T66" s="953"/>
      <c r="U66" s="954"/>
      <c r="V66" s="955"/>
      <c r="W66" s="956"/>
      <c r="X66" s="957"/>
      <c r="Y66" s="711"/>
      <c r="Z66" s="712"/>
      <c r="AA66" s="713"/>
      <c r="AB66" s="714"/>
      <c r="AC66" s="715"/>
      <c r="AD66" s="716"/>
      <c r="AE66" s="717"/>
    </row>
    <row r="67" spans="1:31" ht="15">
      <c r="A67" s="14"/>
      <c r="B67" s="38"/>
      <c r="C67" s="38"/>
      <c r="D67" s="4" t="s">
        <v>10</v>
      </c>
      <c r="E67" s="5"/>
      <c r="F67" s="5"/>
      <c r="G67" s="13" t="s">
        <v>35</v>
      </c>
      <c r="H67" s="1062" t="s">
        <v>52</v>
      </c>
      <c r="I67" s="1063" t="s">
        <v>52</v>
      </c>
      <c r="J67" s="1063" t="s">
        <v>52</v>
      </c>
      <c r="K67" s="1063" t="s">
        <v>52</v>
      </c>
      <c r="L67" s="1064" t="s">
        <v>52</v>
      </c>
      <c r="M67" s="1064" t="s">
        <v>52</v>
      </c>
      <c r="N67" s="1064" t="s">
        <v>52</v>
      </c>
      <c r="O67" s="1075" t="s">
        <v>52</v>
      </c>
      <c r="P67" s="1002"/>
      <c r="Q67" s="958"/>
      <c r="R67" s="959"/>
      <c r="S67" s="960"/>
      <c r="T67" s="961"/>
      <c r="U67" s="962"/>
      <c r="V67" s="963"/>
      <c r="W67" s="964"/>
      <c r="X67" s="965"/>
      <c r="Y67" s="719"/>
      <c r="Z67" s="720"/>
      <c r="AA67" s="721"/>
      <c r="AB67" s="722"/>
      <c r="AC67" s="723"/>
      <c r="AD67" s="724"/>
      <c r="AE67" s="725"/>
    </row>
    <row r="68" spans="1:31" ht="15.75" thickBot="1">
      <c r="A68" s="40"/>
      <c r="B68" s="41"/>
      <c r="C68" s="41"/>
      <c r="D68" s="34" t="s">
        <v>15</v>
      </c>
      <c r="E68" s="43"/>
      <c r="F68" s="43"/>
      <c r="G68" s="44" t="s">
        <v>35</v>
      </c>
      <c r="H68" s="1034">
        <v>106.2</v>
      </c>
      <c r="I68" s="1035">
        <v>104.1</v>
      </c>
      <c r="J68" s="1035">
        <v>107.4</v>
      </c>
      <c r="K68" s="1035">
        <v>107</v>
      </c>
      <c r="L68" s="1036">
        <v>96.8</v>
      </c>
      <c r="M68" s="1036">
        <v>102</v>
      </c>
      <c r="N68" s="1036">
        <v>97.2</v>
      </c>
      <c r="O68" s="1078">
        <v>91.2</v>
      </c>
      <c r="P68" s="1003"/>
      <c r="Q68" s="966"/>
      <c r="R68" s="967"/>
      <c r="S68" s="968"/>
      <c r="T68" s="969"/>
      <c r="U68" s="970"/>
      <c r="V68" s="971"/>
      <c r="W68" s="972"/>
      <c r="X68" s="973"/>
      <c r="Y68" s="727"/>
      <c r="Z68" s="728"/>
      <c r="AA68" s="729"/>
      <c r="AB68" s="730"/>
      <c r="AC68" s="731"/>
      <c r="AD68" s="732"/>
      <c r="AE68" s="733"/>
    </row>
    <row r="69" spans="1:31" ht="15" customHeight="1">
      <c r="A69" s="1294" t="s">
        <v>86</v>
      </c>
      <c r="B69" s="1318"/>
      <c r="C69" s="1318"/>
      <c r="D69" s="1318"/>
      <c r="E69" s="1318"/>
      <c r="F69" s="1318"/>
      <c r="G69" s="1318"/>
      <c r="H69" s="1318"/>
      <c r="I69" s="1318"/>
      <c r="J69" s="1318"/>
      <c r="K69" s="1318"/>
      <c r="L69" s="1318"/>
      <c r="M69" s="1318"/>
      <c r="N69" s="1318"/>
      <c r="O69" s="1318"/>
      <c r="P69" s="1318"/>
      <c r="Q69" s="1318"/>
      <c r="R69" s="1318"/>
      <c r="S69" s="1318"/>
      <c r="T69" s="1318"/>
      <c r="U69" s="1318"/>
      <c r="V69" s="1318"/>
      <c r="W69" s="1318"/>
      <c r="X69" s="1318"/>
      <c r="Y69" s="1318"/>
      <c r="Z69" s="1318"/>
      <c r="AA69" s="1318"/>
      <c r="AB69" s="1318"/>
      <c r="AC69" s="1318"/>
      <c r="AD69" s="1318"/>
      <c r="AE69" s="1318"/>
    </row>
    <row r="70" spans="1:31" ht="15" customHeight="1">
      <c r="A70" s="1318"/>
      <c r="B70" s="1318"/>
      <c r="C70" s="1318"/>
      <c r="D70" s="1318"/>
      <c r="E70" s="1318"/>
      <c r="F70" s="1318"/>
      <c r="G70" s="1318"/>
      <c r="H70" s="1318"/>
      <c r="I70" s="1318"/>
      <c r="J70" s="1318"/>
      <c r="K70" s="1318"/>
      <c r="L70" s="1318"/>
      <c r="M70" s="1318"/>
      <c r="N70" s="1318"/>
      <c r="O70" s="1318"/>
      <c r="P70" s="1318"/>
      <c r="Q70" s="1318"/>
      <c r="R70" s="1318"/>
      <c r="S70" s="1318"/>
      <c r="T70" s="1318"/>
      <c r="U70" s="1318"/>
      <c r="V70" s="1318"/>
      <c r="W70" s="1318"/>
      <c r="X70" s="1318"/>
      <c r="Y70" s="1318"/>
      <c r="Z70" s="1318"/>
      <c r="AA70" s="1318"/>
      <c r="AB70" s="1318"/>
      <c r="AC70" s="1318"/>
      <c r="AD70" s="1318"/>
      <c r="AE70" s="1318"/>
    </row>
  </sheetData>
  <mergeCells count="7">
    <mergeCell ref="H2:O2"/>
    <mergeCell ref="P2:W2"/>
    <mergeCell ref="X2:AE2"/>
    <mergeCell ref="A69:AE70"/>
    <mergeCell ref="H36:O36"/>
    <mergeCell ref="P36:W36"/>
    <mergeCell ref="X36:AE36"/>
  </mergeCells>
  <phoneticPr fontId="5"/>
  <pageMargins left="0.70866141732283472" right="0.70866141732283472" top="0.55118110236220474" bottom="0.35433070866141736" header="0.31496062992125984" footer="0.31496062992125984"/>
  <pageSetup paperSize="8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1FB03-63AE-4CBB-ABD7-319B894BB573}">
  <dimension ref="A1:AA69"/>
  <sheetViews>
    <sheetView showGridLines="0" view="pageBreakPreview" topLeftCell="A28" zoomScaleNormal="100" zoomScaleSheetLayoutView="100" workbookViewId="0">
      <pane xSplit="7" topLeftCell="H1" activePane="topRight" state="frozen"/>
      <selection activeCell="L20" sqref="L20"/>
      <selection pane="topRight" activeCell="A42" sqref="A42:XFD42"/>
    </sheetView>
  </sheetViews>
  <sheetFormatPr defaultRowHeight="11.25"/>
  <cols>
    <col min="1" max="1" width="2.75" style="1" customWidth="1"/>
    <col min="2" max="3" width="6.625" style="1" customWidth="1"/>
    <col min="4" max="4" width="9.875" style="1" customWidth="1"/>
    <col min="5" max="5" width="11.625" style="1" customWidth="1"/>
    <col min="6" max="6" width="13.125" style="1" customWidth="1"/>
    <col min="7" max="7" width="6.125" style="1" customWidth="1"/>
    <col min="8" max="19" width="11" style="1" customWidth="1"/>
    <col min="20" max="21" width="12.125" style="1" customWidth="1"/>
    <col min="22" max="16384" width="9" style="1"/>
  </cols>
  <sheetData>
    <row r="1" spans="1:21" ht="29.25" customHeight="1" thickBot="1">
      <c r="A1" s="2" t="s">
        <v>184</v>
      </c>
      <c r="B1" s="1140"/>
      <c r="C1" s="1140"/>
      <c r="D1" s="1140"/>
      <c r="E1" s="1140"/>
      <c r="F1" s="1140"/>
      <c r="G1" s="1140"/>
      <c r="H1" s="1140"/>
      <c r="I1" s="1140"/>
      <c r="J1" s="1140"/>
      <c r="K1" s="1140"/>
      <c r="L1" s="1140"/>
      <c r="M1" s="1140"/>
      <c r="N1" s="1140"/>
      <c r="O1" s="1140"/>
      <c r="P1" s="1140"/>
      <c r="Q1" s="1140"/>
      <c r="R1" s="1140"/>
      <c r="S1" s="1140"/>
      <c r="T1" s="1140"/>
      <c r="U1" s="1140"/>
    </row>
    <row r="2" spans="1:21" ht="16.5" customHeight="1">
      <c r="A2" s="10"/>
      <c r="B2" s="11"/>
      <c r="C2" s="11"/>
      <c r="D2" s="11"/>
      <c r="E2" s="11"/>
      <c r="F2" s="11"/>
      <c r="G2" s="11"/>
      <c r="H2" s="1284" t="s">
        <v>74</v>
      </c>
      <c r="I2" s="1285"/>
      <c r="J2" s="1285"/>
      <c r="K2" s="1285"/>
      <c r="L2" s="1285"/>
      <c r="M2" s="1285"/>
      <c r="N2" s="1285"/>
      <c r="O2" s="1285"/>
      <c r="P2" s="1285"/>
      <c r="Q2" s="1285"/>
      <c r="R2" s="1285"/>
      <c r="S2" s="1285"/>
      <c r="T2" s="1311"/>
      <c r="U2" s="1130" t="s">
        <v>54</v>
      </c>
    </row>
    <row r="3" spans="1:21" ht="15.75" thickBot="1">
      <c r="A3" s="23"/>
      <c r="B3" s="24"/>
      <c r="C3" s="24"/>
      <c r="D3" s="24"/>
      <c r="E3" s="24"/>
      <c r="F3" s="24"/>
      <c r="G3" s="24"/>
      <c r="H3" s="1006" t="s">
        <v>182</v>
      </c>
      <c r="I3" s="25" t="s">
        <v>181</v>
      </c>
      <c r="J3" s="25" t="s">
        <v>180</v>
      </c>
      <c r="K3" s="25" t="s">
        <v>179</v>
      </c>
      <c r="L3" s="25" t="s">
        <v>178</v>
      </c>
      <c r="M3" s="25" t="s">
        <v>177</v>
      </c>
      <c r="N3" s="25" t="s">
        <v>176</v>
      </c>
      <c r="O3" s="25" t="s">
        <v>175</v>
      </c>
      <c r="P3" s="25" t="s">
        <v>174</v>
      </c>
      <c r="Q3" s="25" t="s">
        <v>173</v>
      </c>
      <c r="R3" s="25" t="s">
        <v>172</v>
      </c>
      <c r="S3" s="27" t="s">
        <v>171</v>
      </c>
      <c r="T3" s="1089" t="s">
        <v>170</v>
      </c>
      <c r="U3" s="1131" t="s">
        <v>170</v>
      </c>
    </row>
    <row r="4" spans="1:21" ht="17.25" customHeight="1" thickTop="1">
      <c r="A4" s="1299" t="s">
        <v>20</v>
      </c>
      <c r="B4" s="1300"/>
      <c r="C4" s="1301"/>
      <c r="D4" s="1093" t="s">
        <v>16</v>
      </c>
      <c r="E4" s="1094"/>
      <c r="F4" s="1094"/>
      <c r="G4" s="1094"/>
      <c r="H4" s="1268">
        <f t="shared" ref="H4:Q4" si="0">SUM(H5:H9)</f>
        <v>234</v>
      </c>
      <c r="I4" s="1098">
        <f t="shared" si="0"/>
        <v>232</v>
      </c>
      <c r="J4" s="1098">
        <f t="shared" si="0"/>
        <v>225</v>
      </c>
      <c r="K4" s="1098">
        <f t="shared" si="0"/>
        <v>230</v>
      </c>
      <c r="L4" s="1098">
        <f t="shared" si="0"/>
        <v>224</v>
      </c>
      <c r="M4" s="1098">
        <f t="shared" si="0"/>
        <v>230</v>
      </c>
      <c r="N4" s="1098">
        <f t="shared" si="0"/>
        <v>228</v>
      </c>
      <c r="O4" s="1098">
        <f t="shared" si="0"/>
        <v>234</v>
      </c>
      <c r="P4" s="1098">
        <f t="shared" si="0"/>
        <v>231</v>
      </c>
      <c r="Q4" s="1098">
        <f t="shared" si="0"/>
        <v>230</v>
      </c>
      <c r="R4" s="1098">
        <f>SUM(R5:R9)</f>
        <v>234</v>
      </c>
      <c r="S4" s="1099">
        <f>SUM(S5:S9)</f>
        <v>241</v>
      </c>
      <c r="T4" s="1099">
        <f>SUM(T5:T9)</f>
        <v>2773</v>
      </c>
      <c r="U4" s="1132">
        <f>SUM(U5:U8)</f>
        <v>2712</v>
      </c>
    </row>
    <row r="5" spans="1:21" ht="16.5" customHeight="1">
      <c r="A5" s="1302"/>
      <c r="B5" s="1303"/>
      <c r="C5" s="1304"/>
      <c r="D5" s="49" t="s">
        <v>21</v>
      </c>
      <c r="E5" s="45"/>
      <c r="F5" s="45"/>
      <c r="G5" s="45"/>
      <c r="H5" s="1014">
        <v>101</v>
      </c>
      <c r="I5" s="1015">
        <v>97</v>
      </c>
      <c r="J5" s="1015">
        <v>99</v>
      </c>
      <c r="K5" s="1016">
        <v>98</v>
      </c>
      <c r="L5" s="1016">
        <v>98</v>
      </c>
      <c r="M5" s="1016">
        <v>102</v>
      </c>
      <c r="N5" s="1015">
        <v>98</v>
      </c>
      <c r="O5" s="1015">
        <v>97</v>
      </c>
      <c r="P5" s="1015">
        <v>99</v>
      </c>
      <c r="Q5" s="1015">
        <v>97</v>
      </c>
      <c r="R5" s="1016">
        <v>95</v>
      </c>
      <c r="S5" s="1017">
        <v>104</v>
      </c>
      <c r="T5" s="1017">
        <f>SUM(H5:S5)</f>
        <v>1185</v>
      </c>
      <c r="U5" s="1133">
        <v>1224</v>
      </c>
    </row>
    <row r="6" spans="1:21" ht="16.5" customHeight="1">
      <c r="A6" s="1302"/>
      <c r="B6" s="1303"/>
      <c r="C6" s="1304"/>
      <c r="D6" s="4" t="s">
        <v>42</v>
      </c>
      <c r="E6" s="1259"/>
      <c r="F6" s="1259"/>
      <c r="G6" s="1259"/>
      <c r="H6" s="1014">
        <v>60</v>
      </c>
      <c r="I6" s="1015">
        <v>58</v>
      </c>
      <c r="J6" s="1015">
        <v>58</v>
      </c>
      <c r="K6" s="1016">
        <v>59</v>
      </c>
      <c r="L6" s="1016">
        <v>57</v>
      </c>
      <c r="M6" s="1016">
        <v>60</v>
      </c>
      <c r="N6" s="1015">
        <v>56</v>
      </c>
      <c r="O6" s="1015">
        <v>59</v>
      </c>
      <c r="P6" s="1015">
        <v>55</v>
      </c>
      <c r="Q6" s="1015">
        <v>54</v>
      </c>
      <c r="R6" s="1016">
        <v>60</v>
      </c>
      <c r="S6" s="1017">
        <v>57</v>
      </c>
      <c r="T6" s="1017">
        <f>SUM(H6:S6)</f>
        <v>693</v>
      </c>
      <c r="U6" s="1133">
        <v>732</v>
      </c>
    </row>
    <row r="7" spans="1:21" ht="16.5" customHeight="1">
      <c r="A7" s="1302"/>
      <c r="B7" s="1303"/>
      <c r="C7" s="1304"/>
      <c r="D7" s="4" t="s">
        <v>22</v>
      </c>
      <c r="E7" s="1259"/>
      <c r="F7" s="1259"/>
      <c r="G7" s="1259"/>
      <c r="H7" s="1014">
        <v>60</v>
      </c>
      <c r="I7" s="1015">
        <v>63</v>
      </c>
      <c r="J7" s="1015">
        <v>57</v>
      </c>
      <c r="K7" s="1016">
        <v>59</v>
      </c>
      <c r="L7" s="1016">
        <v>57</v>
      </c>
      <c r="M7" s="1016">
        <v>57</v>
      </c>
      <c r="N7" s="1015">
        <v>60</v>
      </c>
      <c r="O7" s="1015">
        <v>66</v>
      </c>
      <c r="P7" s="1015">
        <v>63</v>
      </c>
      <c r="Q7" s="1015">
        <v>65</v>
      </c>
      <c r="R7" s="1016">
        <v>64</v>
      </c>
      <c r="S7" s="1017">
        <v>64</v>
      </c>
      <c r="T7" s="1017">
        <f>SUM(H7:S7)</f>
        <v>735</v>
      </c>
      <c r="U7" s="1133">
        <v>612</v>
      </c>
    </row>
    <row r="8" spans="1:21" ht="17.25" customHeight="1">
      <c r="A8" s="1302"/>
      <c r="B8" s="1303"/>
      <c r="C8" s="1304"/>
      <c r="D8" s="4" t="s">
        <v>188</v>
      </c>
      <c r="E8" s="1259"/>
      <c r="F8" s="1259"/>
      <c r="G8" s="1259"/>
      <c r="H8" s="1014">
        <v>13</v>
      </c>
      <c r="I8" s="1015">
        <v>14</v>
      </c>
      <c r="J8" s="1015">
        <v>11</v>
      </c>
      <c r="K8" s="1016">
        <v>14</v>
      </c>
      <c r="L8" s="1016">
        <v>12</v>
      </c>
      <c r="M8" s="1016">
        <v>11</v>
      </c>
      <c r="N8" s="1015">
        <v>14</v>
      </c>
      <c r="O8" s="1015">
        <v>12</v>
      </c>
      <c r="P8" s="1015">
        <v>14</v>
      </c>
      <c r="Q8" s="1015">
        <v>14</v>
      </c>
      <c r="R8" s="1016">
        <v>15</v>
      </c>
      <c r="S8" s="1017">
        <v>15</v>
      </c>
      <c r="T8" s="1017">
        <f>SUM(H8:S8)</f>
        <v>159</v>
      </c>
      <c r="U8" s="1133">
        <v>144</v>
      </c>
    </row>
    <row r="9" spans="1:21" ht="17.25" customHeight="1" thickBot="1">
      <c r="A9" s="1305"/>
      <c r="B9" s="1306"/>
      <c r="C9" s="1307"/>
      <c r="D9" s="1118" t="s">
        <v>189</v>
      </c>
      <c r="E9" s="38"/>
      <c r="F9" s="38"/>
      <c r="G9" s="41"/>
      <c r="H9" s="1269">
        <v>0</v>
      </c>
      <c r="I9" s="1270">
        <v>0</v>
      </c>
      <c r="J9" s="1270">
        <v>0</v>
      </c>
      <c r="K9" s="1271">
        <v>0</v>
      </c>
      <c r="L9" s="1271">
        <v>0</v>
      </c>
      <c r="M9" s="1271">
        <v>0</v>
      </c>
      <c r="N9" s="1270">
        <v>0</v>
      </c>
      <c r="O9" s="1270">
        <v>0</v>
      </c>
      <c r="P9" s="1270">
        <v>0</v>
      </c>
      <c r="Q9" s="1270">
        <v>0</v>
      </c>
      <c r="R9" s="1271">
        <v>0</v>
      </c>
      <c r="S9" s="1272">
        <v>1</v>
      </c>
      <c r="T9" s="1017">
        <f>SUM(H9:S9)</f>
        <v>1</v>
      </c>
      <c r="U9" s="1133">
        <v>0</v>
      </c>
    </row>
    <row r="10" spans="1:21" ht="15">
      <c r="A10" s="1299" t="s">
        <v>2</v>
      </c>
      <c r="B10" s="1300"/>
      <c r="C10" s="1301"/>
      <c r="D10" s="1093" t="s">
        <v>16</v>
      </c>
      <c r="E10" s="1094"/>
      <c r="F10" s="1094"/>
      <c r="G10" s="1094"/>
      <c r="H10" s="1096">
        <f t="shared" ref="H10:J10" si="1">SUM(H11:H13)</f>
        <v>54</v>
      </c>
      <c r="I10" s="1097">
        <f t="shared" si="1"/>
        <v>50</v>
      </c>
      <c r="J10" s="1097">
        <f t="shared" si="1"/>
        <v>53</v>
      </c>
      <c r="K10" s="1098">
        <f>SUM(K11:K13)</f>
        <v>52</v>
      </c>
      <c r="L10" s="1098">
        <f t="shared" ref="L10:S10" si="2">SUM(L11:L13)</f>
        <v>51</v>
      </c>
      <c r="M10" s="1098">
        <f t="shared" si="2"/>
        <v>49</v>
      </c>
      <c r="N10" s="1097">
        <f t="shared" si="2"/>
        <v>48</v>
      </c>
      <c r="O10" s="1097">
        <f t="shared" si="2"/>
        <v>50</v>
      </c>
      <c r="P10" s="1097">
        <f t="shared" si="2"/>
        <v>47</v>
      </c>
      <c r="Q10" s="1098">
        <f>SUM(Q11:Q13)</f>
        <v>49</v>
      </c>
      <c r="R10" s="1098">
        <f>SUM(R11:R13)</f>
        <v>51</v>
      </c>
      <c r="S10" s="1099">
        <f t="shared" si="2"/>
        <v>53</v>
      </c>
      <c r="T10" s="1099">
        <f>SUM(T11:T13)</f>
        <v>607</v>
      </c>
      <c r="U10" s="1132">
        <f>SUM(U11:U13)</f>
        <v>708</v>
      </c>
    </row>
    <row r="11" spans="1:21" ht="15">
      <c r="A11" s="1302"/>
      <c r="B11" s="1303"/>
      <c r="C11" s="1304"/>
      <c r="D11" s="4" t="s">
        <v>17</v>
      </c>
      <c r="E11" s="1259"/>
      <c r="F11" s="1259"/>
      <c r="G11" s="1259"/>
      <c r="H11" s="1014">
        <v>2</v>
      </c>
      <c r="I11" s="1015">
        <v>2</v>
      </c>
      <c r="J11" s="1015">
        <v>1</v>
      </c>
      <c r="K11" s="1016">
        <v>3</v>
      </c>
      <c r="L11" s="1016">
        <v>2</v>
      </c>
      <c r="M11" s="1016">
        <v>2</v>
      </c>
      <c r="N11" s="1015">
        <v>1</v>
      </c>
      <c r="O11" s="1015">
        <v>1</v>
      </c>
      <c r="P11" s="1015">
        <v>1</v>
      </c>
      <c r="Q11" s="1015">
        <v>1</v>
      </c>
      <c r="R11" s="1016">
        <v>1</v>
      </c>
      <c r="S11" s="1017">
        <v>1</v>
      </c>
      <c r="T11" s="1017">
        <f>SUM(H11:S11)</f>
        <v>18</v>
      </c>
      <c r="U11" s="1133">
        <v>24</v>
      </c>
    </row>
    <row r="12" spans="1:21" ht="15">
      <c r="A12" s="1302"/>
      <c r="B12" s="1303"/>
      <c r="C12" s="1304"/>
      <c r="D12" s="4" t="s">
        <v>19</v>
      </c>
      <c r="E12" s="1259"/>
      <c r="F12" s="1259"/>
      <c r="G12" s="1259"/>
      <c r="H12" s="1014">
        <v>0</v>
      </c>
      <c r="I12" s="1015">
        <v>0</v>
      </c>
      <c r="J12" s="1015">
        <v>0</v>
      </c>
      <c r="K12" s="1016">
        <v>0</v>
      </c>
      <c r="L12" s="1016">
        <v>0</v>
      </c>
      <c r="M12" s="1016">
        <v>0</v>
      </c>
      <c r="N12" s="1015">
        <v>0</v>
      </c>
      <c r="O12" s="1015">
        <v>0</v>
      </c>
      <c r="P12" s="1015">
        <v>0</v>
      </c>
      <c r="Q12" s="1015">
        <v>0</v>
      </c>
      <c r="R12" s="1016">
        <v>0</v>
      </c>
      <c r="S12" s="1017">
        <v>0</v>
      </c>
      <c r="T12" s="1017">
        <f>SUM(H12:S12)</f>
        <v>0</v>
      </c>
      <c r="U12" s="1133">
        <v>0</v>
      </c>
    </row>
    <row r="13" spans="1:21" ht="15.75" thickBot="1">
      <c r="A13" s="1305"/>
      <c r="B13" s="1306"/>
      <c r="C13" s="1307"/>
      <c r="D13" s="34" t="s">
        <v>18</v>
      </c>
      <c r="E13" s="43"/>
      <c r="F13" s="43"/>
      <c r="G13" s="43"/>
      <c r="H13" s="1020">
        <v>52</v>
      </c>
      <c r="I13" s="1021">
        <v>48</v>
      </c>
      <c r="J13" s="1021">
        <v>52</v>
      </c>
      <c r="K13" s="1022">
        <v>49</v>
      </c>
      <c r="L13" s="1022">
        <v>49</v>
      </c>
      <c r="M13" s="1022">
        <v>47</v>
      </c>
      <c r="N13" s="1021">
        <v>47</v>
      </c>
      <c r="O13" s="1021">
        <v>49</v>
      </c>
      <c r="P13" s="1021">
        <v>46</v>
      </c>
      <c r="Q13" s="1021">
        <v>48</v>
      </c>
      <c r="R13" s="1022">
        <v>50</v>
      </c>
      <c r="S13" s="1023">
        <v>52</v>
      </c>
      <c r="T13" s="1023">
        <f>SUM(H13:S13)</f>
        <v>589</v>
      </c>
      <c r="U13" s="1134">
        <v>684</v>
      </c>
    </row>
    <row r="14" spans="1:21" ht="15">
      <c r="A14" s="1260" t="s">
        <v>133</v>
      </c>
      <c r="B14" s="1261"/>
      <c r="C14" s="1262"/>
      <c r="D14" s="1093" t="s">
        <v>16</v>
      </c>
      <c r="E14" s="1094" t="s">
        <v>155</v>
      </c>
      <c r="F14" s="1094"/>
      <c r="G14" s="1094"/>
      <c r="H14" s="1096">
        <f>SUM(H15:H32)</f>
        <v>1358</v>
      </c>
      <c r="I14" s="1097">
        <f t="shared" ref="I14:S14" si="3">SUM(I15:I32)</f>
        <v>1310</v>
      </c>
      <c r="J14" s="1097">
        <f t="shared" si="3"/>
        <v>1349</v>
      </c>
      <c r="K14" s="1097">
        <f t="shared" si="3"/>
        <v>1332</v>
      </c>
      <c r="L14" s="1097">
        <f t="shared" si="3"/>
        <v>1382</v>
      </c>
      <c r="M14" s="1097">
        <f t="shared" si="3"/>
        <v>1364</v>
      </c>
      <c r="N14" s="1097">
        <f t="shared" si="3"/>
        <v>1347</v>
      </c>
      <c r="O14" s="1097">
        <f>SUM(O15:O32)</f>
        <v>1360</v>
      </c>
      <c r="P14" s="1097">
        <f t="shared" si="3"/>
        <v>1345</v>
      </c>
      <c r="Q14" s="1097">
        <f t="shared" si="3"/>
        <v>1377</v>
      </c>
      <c r="R14" s="1097">
        <f>SUM(R15:R32)</f>
        <v>1348</v>
      </c>
      <c r="S14" s="1155">
        <f t="shared" si="3"/>
        <v>1333</v>
      </c>
      <c r="T14" s="1132">
        <f>SUM(T15:T32)</f>
        <v>16205</v>
      </c>
      <c r="U14" s="1132">
        <f>SUM(U15:U32)</f>
        <v>19512</v>
      </c>
    </row>
    <row r="15" spans="1:21" ht="15">
      <c r="A15" s="29"/>
      <c r="B15" s="8"/>
      <c r="C15" s="9"/>
      <c r="D15" s="1100" t="s">
        <v>132</v>
      </c>
      <c r="E15" s="1265"/>
      <c r="F15" s="1265"/>
      <c r="G15" s="1265"/>
      <c r="H15" s="1009">
        <v>188</v>
      </c>
      <c r="I15" s="1010">
        <v>186</v>
      </c>
      <c r="J15" s="1010">
        <v>188</v>
      </c>
      <c r="K15" s="1011">
        <v>190</v>
      </c>
      <c r="L15" s="1011">
        <v>193</v>
      </c>
      <c r="M15" s="1011">
        <v>191</v>
      </c>
      <c r="N15" s="1010">
        <v>200</v>
      </c>
      <c r="O15" s="1010">
        <v>204</v>
      </c>
      <c r="P15" s="1010">
        <v>211</v>
      </c>
      <c r="Q15" s="1010">
        <v>211</v>
      </c>
      <c r="R15" s="1011">
        <v>210</v>
      </c>
      <c r="S15" s="1079">
        <v>209</v>
      </c>
      <c r="T15" s="1013">
        <f>SUM(H15:S15)</f>
        <v>2381</v>
      </c>
      <c r="U15" s="1135">
        <v>2916</v>
      </c>
    </row>
    <row r="16" spans="1:21" ht="15">
      <c r="A16" s="29"/>
      <c r="B16" s="8"/>
      <c r="C16" s="9"/>
      <c r="D16" s="4" t="s">
        <v>26</v>
      </c>
      <c r="E16" s="1259"/>
      <c r="F16" s="1259"/>
      <c r="G16" s="1259"/>
      <c r="H16" s="1014">
        <v>13</v>
      </c>
      <c r="I16" s="1015">
        <v>15</v>
      </c>
      <c r="J16" s="1015">
        <v>16</v>
      </c>
      <c r="K16" s="1016">
        <v>14</v>
      </c>
      <c r="L16" s="1016">
        <v>16</v>
      </c>
      <c r="M16" s="1016">
        <v>18</v>
      </c>
      <c r="N16" s="1015">
        <v>17</v>
      </c>
      <c r="O16" s="1015">
        <v>15</v>
      </c>
      <c r="P16" s="1015">
        <v>13</v>
      </c>
      <c r="Q16" s="1015">
        <v>15</v>
      </c>
      <c r="R16" s="1016">
        <v>14</v>
      </c>
      <c r="S16" s="1017">
        <v>14</v>
      </c>
      <c r="T16" s="1017">
        <f>SUM(H16:S16)</f>
        <v>180</v>
      </c>
      <c r="U16" s="1133">
        <v>372</v>
      </c>
    </row>
    <row r="17" spans="1:21" ht="15">
      <c r="A17" s="29"/>
      <c r="B17" s="8"/>
      <c r="C17" s="9"/>
      <c r="D17" s="4" t="s">
        <v>27</v>
      </c>
      <c r="E17" s="1259"/>
      <c r="F17" s="1259"/>
      <c r="G17" s="1259"/>
      <c r="H17" s="1014">
        <v>79</v>
      </c>
      <c r="I17" s="1015">
        <v>80</v>
      </c>
      <c r="J17" s="1015">
        <v>85</v>
      </c>
      <c r="K17" s="1016">
        <v>89</v>
      </c>
      <c r="L17" s="1016">
        <v>92</v>
      </c>
      <c r="M17" s="1016">
        <v>87</v>
      </c>
      <c r="N17" s="1015">
        <v>87</v>
      </c>
      <c r="O17" s="1015">
        <v>89</v>
      </c>
      <c r="P17" s="1015">
        <v>89</v>
      </c>
      <c r="Q17" s="1015">
        <v>83</v>
      </c>
      <c r="R17" s="1016">
        <v>91</v>
      </c>
      <c r="S17" s="1017">
        <v>90</v>
      </c>
      <c r="T17" s="1017">
        <f>SUM(H17:S17)</f>
        <v>1041</v>
      </c>
      <c r="U17" s="1133">
        <v>1176</v>
      </c>
    </row>
    <row r="18" spans="1:21" ht="15">
      <c r="A18" s="29"/>
      <c r="B18" s="8"/>
      <c r="C18" s="9"/>
      <c r="D18" s="4" t="s">
        <v>28</v>
      </c>
      <c r="E18" s="1259"/>
      <c r="F18" s="1259"/>
      <c r="G18" s="1259"/>
      <c r="H18" s="1014">
        <v>5</v>
      </c>
      <c r="I18" s="1015">
        <v>5</v>
      </c>
      <c r="J18" s="1015">
        <v>4</v>
      </c>
      <c r="K18" s="1016">
        <v>4</v>
      </c>
      <c r="L18" s="1016">
        <v>5</v>
      </c>
      <c r="M18" s="1016">
        <v>5</v>
      </c>
      <c r="N18" s="1015">
        <v>5</v>
      </c>
      <c r="O18" s="1015">
        <v>5</v>
      </c>
      <c r="P18" s="1015">
        <v>5</v>
      </c>
      <c r="Q18" s="1015">
        <v>6</v>
      </c>
      <c r="R18" s="1016">
        <v>5</v>
      </c>
      <c r="S18" s="1017">
        <v>5</v>
      </c>
      <c r="T18" s="1017">
        <f>SUM(H18:S18)</f>
        <v>59</v>
      </c>
      <c r="U18" s="1133">
        <v>36</v>
      </c>
    </row>
    <row r="19" spans="1:21" ht="15">
      <c r="A19" s="29"/>
      <c r="B19" s="8"/>
      <c r="C19" s="9"/>
      <c r="D19" s="4" t="s">
        <v>29</v>
      </c>
      <c r="E19" s="1259"/>
      <c r="F19" s="1259"/>
      <c r="G19" s="1259"/>
      <c r="H19" s="1014">
        <v>99</v>
      </c>
      <c r="I19" s="1015">
        <v>94</v>
      </c>
      <c r="J19" s="1015">
        <v>106</v>
      </c>
      <c r="K19" s="1016">
        <v>106</v>
      </c>
      <c r="L19" s="1016">
        <v>115</v>
      </c>
      <c r="M19" s="1016">
        <v>116</v>
      </c>
      <c r="N19" s="1015">
        <v>113</v>
      </c>
      <c r="O19" s="1015">
        <v>112</v>
      </c>
      <c r="P19" s="1015">
        <v>113</v>
      </c>
      <c r="Q19" s="1015">
        <v>128</v>
      </c>
      <c r="R19" s="1016">
        <v>119</v>
      </c>
      <c r="S19" s="1017">
        <v>119</v>
      </c>
      <c r="T19" s="1017">
        <f t="shared" ref="T19:T33" si="4">SUM(H19:S19)</f>
        <v>1340</v>
      </c>
      <c r="U19" s="1133">
        <v>900</v>
      </c>
    </row>
    <row r="20" spans="1:21" ht="15">
      <c r="A20" s="29"/>
      <c r="B20" s="8"/>
      <c r="C20" s="9"/>
      <c r="D20" s="4" t="s">
        <v>5</v>
      </c>
      <c r="E20" s="1259"/>
      <c r="F20" s="1259"/>
      <c r="G20" s="1259"/>
      <c r="H20" s="1014">
        <v>380</v>
      </c>
      <c r="I20" s="1015">
        <v>366</v>
      </c>
      <c r="J20" s="1015">
        <v>358</v>
      </c>
      <c r="K20" s="1016">
        <v>362</v>
      </c>
      <c r="L20" s="1016">
        <v>352</v>
      </c>
      <c r="M20" s="1016">
        <v>354</v>
      </c>
      <c r="N20" s="1015">
        <v>344</v>
      </c>
      <c r="O20" s="1015">
        <v>348</v>
      </c>
      <c r="P20" s="1015">
        <v>345</v>
      </c>
      <c r="Q20" s="1015">
        <v>342</v>
      </c>
      <c r="R20" s="1016">
        <v>346</v>
      </c>
      <c r="S20" s="1017">
        <v>339</v>
      </c>
      <c r="T20" s="1017">
        <f>SUM(H20:S20)</f>
        <v>4236</v>
      </c>
      <c r="U20" s="1133">
        <v>5160</v>
      </c>
    </row>
    <row r="21" spans="1:21" ht="15">
      <c r="A21" s="29"/>
      <c r="B21" s="8"/>
      <c r="C21" s="9"/>
      <c r="D21" s="4" t="s">
        <v>6</v>
      </c>
      <c r="E21" s="1259"/>
      <c r="F21" s="1259"/>
      <c r="G21" s="1259"/>
      <c r="H21" s="1014">
        <v>2</v>
      </c>
      <c r="I21" s="1015">
        <v>1</v>
      </c>
      <c r="J21" s="1015">
        <v>1</v>
      </c>
      <c r="K21" s="1016">
        <v>1</v>
      </c>
      <c r="L21" s="1016">
        <v>3</v>
      </c>
      <c r="M21" s="1016">
        <v>2</v>
      </c>
      <c r="N21" s="1015">
        <v>2</v>
      </c>
      <c r="O21" s="1015">
        <v>2</v>
      </c>
      <c r="P21" s="1015">
        <v>1</v>
      </c>
      <c r="Q21" s="1015">
        <v>1</v>
      </c>
      <c r="R21" s="1126">
        <v>2</v>
      </c>
      <c r="S21" s="1211">
        <v>2</v>
      </c>
      <c r="T21" s="1017">
        <f>SUM(H21:S21)</f>
        <v>20</v>
      </c>
      <c r="U21" s="1133">
        <v>72</v>
      </c>
    </row>
    <row r="22" spans="1:21" ht="15">
      <c r="A22" s="29"/>
      <c r="B22" s="8"/>
      <c r="C22" s="9"/>
      <c r="D22" s="4" t="s">
        <v>7</v>
      </c>
      <c r="E22" s="1259"/>
      <c r="F22" s="1259"/>
      <c r="G22" s="1259"/>
      <c r="H22" s="1014">
        <v>105</v>
      </c>
      <c r="I22" s="1015">
        <v>99</v>
      </c>
      <c r="J22" s="1015">
        <v>98</v>
      </c>
      <c r="K22" s="1016">
        <v>99</v>
      </c>
      <c r="L22" s="1016">
        <v>105</v>
      </c>
      <c r="M22" s="1016">
        <v>103</v>
      </c>
      <c r="N22" s="1015">
        <v>102</v>
      </c>
      <c r="O22" s="1015">
        <v>102</v>
      </c>
      <c r="P22" s="1015">
        <v>102</v>
      </c>
      <c r="Q22" s="1015">
        <v>103</v>
      </c>
      <c r="R22" s="1016">
        <v>94</v>
      </c>
      <c r="S22" s="1017">
        <v>101</v>
      </c>
      <c r="T22" s="1017">
        <f>SUM(H22:S22)</f>
        <v>1213</v>
      </c>
      <c r="U22" s="1133">
        <v>1680</v>
      </c>
    </row>
    <row r="23" spans="1:21" ht="15">
      <c r="A23" s="29"/>
      <c r="B23" s="8"/>
      <c r="C23" s="9"/>
      <c r="D23" s="4" t="s">
        <v>11</v>
      </c>
      <c r="E23" s="1259"/>
      <c r="F23" s="1259"/>
      <c r="G23" s="1259"/>
      <c r="H23" s="1014">
        <v>86</v>
      </c>
      <c r="I23" s="1015">
        <v>76</v>
      </c>
      <c r="J23" s="1015">
        <v>86</v>
      </c>
      <c r="K23" s="1016">
        <v>82</v>
      </c>
      <c r="L23" s="1016">
        <v>81</v>
      </c>
      <c r="M23" s="1016">
        <v>85</v>
      </c>
      <c r="N23" s="1015">
        <v>81</v>
      </c>
      <c r="O23" s="1015">
        <v>78</v>
      </c>
      <c r="P23" s="1015">
        <v>69</v>
      </c>
      <c r="Q23" s="1015">
        <v>74</v>
      </c>
      <c r="R23" s="1016">
        <v>69</v>
      </c>
      <c r="S23" s="1017">
        <v>65</v>
      </c>
      <c r="T23" s="1017">
        <f t="shared" si="4"/>
        <v>932</v>
      </c>
      <c r="U23" s="1133">
        <v>1320</v>
      </c>
    </row>
    <row r="24" spans="1:21" ht="15">
      <c r="A24" s="29"/>
      <c r="B24" s="8"/>
      <c r="C24" s="9"/>
      <c r="D24" s="4" t="s">
        <v>128</v>
      </c>
      <c r="E24" s="1259"/>
      <c r="F24" s="1259"/>
      <c r="G24" s="1259"/>
      <c r="H24" s="1014">
        <v>6</v>
      </c>
      <c r="I24" s="1015">
        <v>5</v>
      </c>
      <c r="J24" s="1015">
        <v>3</v>
      </c>
      <c r="K24" s="1016">
        <v>5</v>
      </c>
      <c r="L24" s="1016">
        <v>3</v>
      </c>
      <c r="M24" s="1016">
        <v>6</v>
      </c>
      <c r="N24" s="1015">
        <v>6</v>
      </c>
      <c r="O24" s="1015">
        <v>6</v>
      </c>
      <c r="P24" s="1015">
        <v>5</v>
      </c>
      <c r="Q24" s="1015">
        <v>4</v>
      </c>
      <c r="R24" s="1016">
        <v>6</v>
      </c>
      <c r="S24" s="1017">
        <v>4</v>
      </c>
      <c r="T24" s="1017">
        <f t="shared" si="4"/>
        <v>59</v>
      </c>
      <c r="U24" s="1133">
        <v>264</v>
      </c>
    </row>
    <row r="25" spans="1:21" ht="15">
      <c r="A25" s="29"/>
      <c r="B25" s="8"/>
      <c r="C25" s="9"/>
      <c r="D25" s="4" t="s">
        <v>14</v>
      </c>
      <c r="E25" s="1259"/>
      <c r="F25" s="1259"/>
      <c r="G25" s="1259"/>
      <c r="H25" s="1014">
        <v>370</v>
      </c>
      <c r="I25" s="1015">
        <v>362</v>
      </c>
      <c r="J25" s="1015">
        <v>380</v>
      </c>
      <c r="K25" s="1016">
        <v>353</v>
      </c>
      <c r="L25" s="1016">
        <v>395</v>
      </c>
      <c r="M25" s="1016">
        <v>373</v>
      </c>
      <c r="N25" s="1015">
        <v>367</v>
      </c>
      <c r="O25" s="1015">
        <v>375</v>
      </c>
      <c r="P25" s="1015">
        <v>371</v>
      </c>
      <c r="Q25" s="1015">
        <v>389</v>
      </c>
      <c r="R25" s="1016">
        <v>386</v>
      </c>
      <c r="S25" s="1017">
        <v>378</v>
      </c>
      <c r="T25" s="1017">
        <f t="shared" si="4"/>
        <v>4499</v>
      </c>
      <c r="U25" s="1133">
        <v>4824</v>
      </c>
    </row>
    <row r="26" spans="1:21" ht="15">
      <c r="A26" s="29"/>
      <c r="B26" s="8"/>
      <c r="C26" s="9"/>
      <c r="D26" s="4" t="s">
        <v>33</v>
      </c>
      <c r="E26" s="1259"/>
      <c r="F26" s="1259"/>
      <c r="G26" s="1259"/>
      <c r="H26" s="1014">
        <v>3</v>
      </c>
      <c r="I26" s="1015">
        <v>3</v>
      </c>
      <c r="J26" s="1015">
        <v>2</v>
      </c>
      <c r="K26" s="1016">
        <v>5</v>
      </c>
      <c r="L26" s="1016">
        <v>1</v>
      </c>
      <c r="M26" s="1016">
        <v>4</v>
      </c>
      <c r="N26" s="1015">
        <v>4</v>
      </c>
      <c r="O26" s="1015">
        <v>4</v>
      </c>
      <c r="P26" s="1015">
        <v>6</v>
      </c>
      <c r="Q26" s="1015">
        <v>5</v>
      </c>
      <c r="R26" s="1016">
        <v>3</v>
      </c>
      <c r="S26" s="1017">
        <v>5</v>
      </c>
      <c r="T26" s="1017">
        <f t="shared" si="4"/>
        <v>45</v>
      </c>
      <c r="U26" s="1133">
        <v>60</v>
      </c>
    </row>
    <row r="27" spans="1:21" ht="15">
      <c r="A27" s="29"/>
      <c r="B27" s="8"/>
      <c r="C27" s="9"/>
      <c r="D27" s="4" t="s">
        <v>34</v>
      </c>
      <c r="E27" s="1259"/>
      <c r="F27" s="1259"/>
      <c r="G27" s="1259"/>
      <c r="H27" s="1014">
        <v>0</v>
      </c>
      <c r="I27" s="1015">
        <v>0</v>
      </c>
      <c r="J27" s="1015">
        <v>2</v>
      </c>
      <c r="K27" s="1016">
        <v>0</v>
      </c>
      <c r="L27" s="1016">
        <v>1</v>
      </c>
      <c r="M27" s="1016">
        <v>0</v>
      </c>
      <c r="N27" s="1015">
        <v>2</v>
      </c>
      <c r="O27" s="1015">
        <v>1</v>
      </c>
      <c r="P27" s="1015">
        <v>0</v>
      </c>
      <c r="Q27" s="1015">
        <v>0</v>
      </c>
      <c r="R27" s="1016">
        <v>1</v>
      </c>
      <c r="S27" s="1017">
        <v>0</v>
      </c>
      <c r="T27" s="1017">
        <f t="shared" si="4"/>
        <v>7</v>
      </c>
      <c r="U27" s="1133">
        <v>36</v>
      </c>
    </row>
    <row r="28" spans="1:21" ht="15">
      <c r="A28" s="29"/>
      <c r="B28" s="8"/>
      <c r="C28" s="9"/>
      <c r="D28" s="4" t="s">
        <v>3</v>
      </c>
      <c r="E28" s="1259"/>
      <c r="F28" s="1259"/>
      <c r="G28" s="1259"/>
      <c r="H28" s="1014">
        <v>1</v>
      </c>
      <c r="I28" s="1015">
        <v>1</v>
      </c>
      <c r="J28" s="1015">
        <v>1</v>
      </c>
      <c r="K28" s="1016">
        <v>1</v>
      </c>
      <c r="L28" s="1016">
        <v>1</v>
      </c>
      <c r="M28" s="1016">
        <v>1</v>
      </c>
      <c r="N28" s="1015">
        <v>0</v>
      </c>
      <c r="O28" s="1015">
        <v>0</v>
      </c>
      <c r="P28" s="1015">
        <v>0</v>
      </c>
      <c r="Q28" s="1015">
        <v>0</v>
      </c>
      <c r="R28" s="1016">
        <v>0</v>
      </c>
      <c r="S28" s="1017">
        <v>0</v>
      </c>
      <c r="T28" s="1017">
        <f t="shared" si="4"/>
        <v>6</v>
      </c>
      <c r="U28" s="1133">
        <v>0</v>
      </c>
    </row>
    <row r="29" spans="1:21" ht="15">
      <c r="A29" s="29"/>
      <c r="B29" s="8"/>
      <c r="C29" s="9"/>
      <c r="D29" s="4" t="s">
        <v>4</v>
      </c>
      <c r="E29" s="1259"/>
      <c r="F29" s="1259"/>
      <c r="G29" s="1259"/>
      <c r="H29" s="1014">
        <v>0</v>
      </c>
      <c r="I29" s="1015">
        <v>0</v>
      </c>
      <c r="J29" s="1015">
        <v>0</v>
      </c>
      <c r="K29" s="1016">
        <v>0</v>
      </c>
      <c r="L29" s="1016">
        <v>0</v>
      </c>
      <c r="M29" s="1016">
        <v>0</v>
      </c>
      <c r="N29" s="1015">
        <v>0</v>
      </c>
      <c r="O29" s="1015">
        <v>0</v>
      </c>
      <c r="P29" s="1015">
        <v>0</v>
      </c>
      <c r="Q29" s="1015">
        <v>0</v>
      </c>
      <c r="R29" s="1016">
        <v>0</v>
      </c>
      <c r="S29" s="1017">
        <v>0</v>
      </c>
      <c r="T29" s="1017">
        <f t="shared" si="4"/>
        <v>0</v>
      </c>
      <c r="U29" s="1133">
        <v>0</v>
      </c>
    </row>
    <row r="30" spans="1:21" ht="15">
      <c r="A30" s="29"/>
      <c r="B30" s="8"/>
      <c r="C30" s="9"/>
      <c r="D30" s="4" t="s">
        <v>8</v>
      </c>
      <c r="E30" s="1259"/>
      <c r="F30" s="1259"/>
      <c r="G30" s="1259"/>
      <c r="H30" s="1014">
        <v>21</v>
      </c>
      <c r="I30" s="1015">
        <v>17</v>
      </c>
      <c r="J30" s="1015">
        <v>19</v>
      </c>
      <c r="K30" s="1016">
        <v>21</v>
      </c>
      <c r="L30" s="1016">
        <v>19</v>
      </c>
      <c r="M30" s="1016">
        <v>19</v>
      </c>
      <c r="N30" s="1015">
        <v>17</v>
      </c>
      <c r="O30" s="1015">
        <v>19</v>
      </c>
      <c r="P30" s="1015">
        <v>15</v>
      </c>
      <c r="Q30" s="1015">
        <v>16</v>
      </c>
      <c r="R30" s="1016">
        <v>2</v>
      </c>
      <c r="S30" s="1017">
        <v>2</v>
      </c>
      <c r="T30" s="1017">
        <f t="shared" si="4"/>
        <v>187</v>
      </c>
      <c r="U30" s="1133">
        <v>444</v>
      </c>
    </row>
    <row r="31" spans="1:21" ht="15">
      <c r="A31" s="29"/>
      <c r="B31" s="8"/>
      <c r="C31" s="9"/>
      <c r="D31" s="4" t="s">
        <v>9</v>
      </c>
      <c r="E31" s="1259"/>
      <c r="F31" s="1259"/>
      <c r="G31" s="1259"/>
      <c r="H31" s="1014">
        <v>0</v>
      </c>
      <c r="I31" s="1015">
        <v>0</v>
      </c>
      <c r="J31" s="1015">
        <v>0</v>
      </c>
      <c r="K31" s="1016">
        <v>0</v>
      </c>
      <c r="L31" s="1016">
        <v>0</v>
      </c>
      <c r="M31" s="1016">
        <v>0</v>
      </c>
      <c r="N31" s="1015">
        <v>0</v>
      </c>
      <c r="O31" s="1015">
        <v>0</v>
      </c>
      <c r="P31" s="1015">
        <v>0</v>
      </c>
      <c r="Q31" s="1015">
        <v>0</v>
      </c>
      <c r="R31" s="1016">
        <v>0</v>
      </c>
      <c r="S31" s="1017">
        <v>0</v>
      </c>
      <c r="T31" s="1017">
        <f t="shared" si="4"/>
        <v>0</v>
      </c>
      <c r="U31" s="1133">
        <v>252</v>
      </c>
    </row>
    <row r="32" spans="1:21" ht="15">
      <c r="A32" s="29"/>
      <c r="B32" s="8"/>
      <c r="C32" s="9"/>
      <c r="D32" s="4" t="s">
        <v>10</v>
      </c>
      <c r="E32" s="1259"/>
      <c r="F32" s="1259"/>
      <c r="G32" s="1259"/>
      <c r="H32" s="1014">
        <v>0</v>
      </c>
      <c r="I32" s="1015">
        <v>0</v>
      </c>
      <c r="J32" s="1015">
        <v>0</v>
      </c>
      <c r="K32" s="1016">
        <v>0</v>
      </c>
      <c r="L32" s="1016">
        <v>0</v>
      </c>
      <c r="M32" s="1016">
        <v>0</v>
      </c>
      <c r="N32" s="1015">
        <v>0</v>
      </c>
      <c r="O32" s="1015">
        <v>0</v>
      </c>
      <c r="P32" s="1015">
        <v>0</v>
      </c>
      <c r="Q32" s="1015">
        <v>0</v>
      </c>
      <c r="R32" s="1016">
        <v>0</v>
      </c>
      <c r="S32" s="1017">
        <v>0</v>
      </c>
      <c r="T32" s="1017">
        <f t="shared" si="4"/>
        <v>0</v>
      </c>
      <c r="U32" s="1133">
        <v>0</v>
      </c>
    </row>
    <row r="33" spans="1:27" ht="15.75" thickBot="1">
      <c r="A33" s="31"/>
      <c r="B33" s="32"/>
      <c r="C33" s="33"/>
      <c r="D33" s="34" t="s">
        <v>15</v>
      </c>
      <c r="E33" s="43"/>
      <c r="F33" s="43"/>
      <c r="G33" s="43"/>
      <c r="H33" s="1020">
        <v>641</v>
      </c>
      <c r="I33" s="1021">
        <v>620</v>
      </c>
      <c r="J33" s="1021">
        <v>636</v>
      </c>
      <c r="K33" s="1022">
        <v>634</v>
      </c>
      <c r="L33" s="1022">
        <v>642</v>
      </c>
      <c r="M33" s="1022">
        <v>637</v>
      </c>
      <c r="N33" s="1021">
        <v>615</v>
      </c>
      <c r="O33" s="1021">
        <v>625</v>
      </c>
      <c r="P33" s="1021">
        <v>616</v>
      </c>
      <c r="Q33" s="1021">
        <v>622</v>
      </c>
      <c r="R33" s="1022">
        <v>612</v>
      </c>
      <c r="S33" s="1023">
        <v>605</v>
      </c>
      <c r="T33" s="1023">
        <f t="shared" si="4"/>
        <v>7505</v>
      </c>
      <c r="U33" s="1134">
        <v>8592</v>
      </c>
    </row>
    <row r="34" spans="1:27" s="1273" customFormat="1" ht="15" thickBot="1">
      <c r="H34" s="1274">
        <f>H14+H10+H4</f>
        <v>1646</v>
      </c>
      <c r="I34" s="1274">
        <f>I14+I10+I4</f>
        <v>1592</v>
      </c>
      <c r="J34" s="1273">
        <f t="shared" ref="J34:Q34" si="5">J14+J10+J4</f>
        <v>1627</v>
      </c>
      <c r="K34" s="1273">
        <f t="shared" si="5"/>
        <v>1614</v>
      </c>
      <c r="L34" s="1274">
        <f t="shared" si="5"/>
        <v>1657</v>
      </c>
      <c r="M34" s="1274">
        <f t="shared" si="5"/>
        <v>1643</v>
      </c>
      <c r="N34" s="1274">
        <f t="shared" si="5"/>
        <v>1623</v>
      </c>
      <c r="O34" s="1274">
        <f>O14+O10+O4</f>
        <v>1644</v>
      </c>
      <c r="P34" s="1274">
        <f t="shared" si="5"/>
        <v>1623</v>
      </c>
      <c r="Q34" s="1274">
        <f t="shared" si="5"/>
        <v>1656</v>
      </c>
      <c r="R34" s="1274">
        <f>R14+R10+R4</f>
        <v>1633</v>
      </c>
      <c r="S34" s="1274">
        <f>S14+S10+S4</f>
        <v>1627</v>
      </c>
      <c r="T34" s="1274">
        <f>T14+T10+T4</f>
        <v>19585</v>
      </c>
      <c r="U34" s="1274">
        <f>U14+U10+U4</f>
        <v>22932</v>
      </c>
    </row>
    <row r="35" spans="1:27" ht="16.5" customHeight="1">
      <c r="A35" s="10"/>
      <c r="B35" s="11"/>
      <c r="C35" s="11"/>
      <c r="D35" s="11"/>
      <c r="E35" s="11"/>
      <c r="F35" s="11"/>
      <c r="G35" s="11"/>
      <c r="H35" s="1292" t="s">
        <v>70</v>
      </c>
      <c r="I35" s="1293"/>
      <c r="S35" s="1142"/>
      <c r="T35" s="1143"/>
      <c r="U35" s="1235"/>
      <c r="V35" s="1263"/>
      <c r="W35" s="1263"/>
      <c r="X35" s="1263"/>
      <c r="Y35" s="1263"/>
      <c r="Z35" s="1263"/>
      <c r="AA35" s="1263"/>
    </row>
    <row r="36" spans="1:27" ht="17.25" customHeight="1" thickBot="1">
      <c r="A36" s="19"/>
      <c r="B36" s="20"/>
      <c r="C36" s="20"/>
      <c r="D36" s="20"/>
      <c r="E36" s="20"/>
      <c r="F36" s="20"/>
      <c r="G36" s="20"/>
      <c r="H36" s="1314" t="s">
        <v>185</v>
      </c>
      <c r="I36" s="1315"/>
      <c r="J36" s="1005"/>
      <c r="K36" s="1005"/>
      <c r="L36" s="1005"/>
      <c r="M36" s="1005"/>
      <c r="N36" s="1263"/>
      <c r="O36" s="1263"/>
      <c r="P36" s="1263"/>
      <c r="Q36" s="1263"/>
      <c r="R36" s="1263"/>
      <c r="S36" s="1154"/>
      <c r="T36" s="1236"/>
      <c r="V36" s="94"/>
      <c r="W36" s="94"/>
      <c r="X36" s="92"/>
      <c r="Y36" s="94"/>
      <c r="Z36" s="94"/>
      <c r="AA36" s="94"/>
    </row>
    <row r="37" spans="1:27" ht="15.75" thickTop="1">
      <c r="A37" s="29" t="s">
        <v>20</v>
      </c>
      <c r="B37" s="8"/>
      <c r="C37" s="9"/>
      <c r="D37" s="1090" t="s">
        <v>16</v>
      </c>
      <c r="E37" s="1091"/>
      <c r="F37" s="1091"/>
      <c r="G37" s="1008" t="s">
        <v>37</v>
      </c>
      <c r="H37" s="1312">
        <f>T4/U4*100</f>
        <v>102.24926253687316</v>
      </c>
      <c r="I37" s="1313"/>
      <c r="J37" s="1255"/>
      <c r="K37" s="1252"/>
      <c r="L37" s="1252"/>
      <c r="M37" s="1252"/>
      <c r="N37" s="95"/>
      <c r="O37" s="95"/>
      <c r="P37" s="95"/>
      <c r="Q37" s="1244"/>
      <c r="R37" s="1244"/>
      <c r="S37" s="1244"/>
      <c r="T37" s="1244"/>
      <c r="U37" s="1244"/>
    </row>
    <row r="38" spans="1:27" ht="15">
      <c r="A38" s="29"/>
      <c r="B38" s="8"/>
      <c r="C38" s="9"/>
      <c r="D38" s="49" t="s">
        <v>21</v>
      </c>
      <c r="E38" s="45"/>
      <c r="F38" s="45"/>
      <c r="G38" s="46" t="s">
        <v>37</v>
      </c>
      <c r="H38" s="1308">
        <f t="shared" ref="H38:H41" si="6">T5/U5*100</f>
        <v>96.813725490196077</v>
      </c>
      <c r="I38" s="1309"/>
      <c r="J38" s="1255"/>
      <c r="K38" s="1251"/>
      <c r="L38" s="1251"/>
      <c r="M38" s="1251"/>
      <c r="N38" s="95"/>
      <c r="O38" s="95"/>
      <c r="P38" s="95"/>
      <c r="Q38" s="1244"/>
      <c r="R38" s="1244"/>
      <c r="S38" s="1244"/>
      <c r="T38" s="1244"/>
      <c r="U38" s="1244"/>
    </row>
    <row r="39" spans="1:27" ht="15">
      <c r="A39" s="29"/>
      <c r="B39" s="8"/>
      <c r="C39" s="9"/>
      <c r="D39" s="4" t="s">
        <v>42</v>
      </c>
      <c r="E39" s="1239"/>
      <c r="F39" s="1239"/>
      <c r="G39" s="13" t="s">
        <v>37</v>
      </c>
      <c r="H39" s="1308">
        <f t="shared" si="6"/>
        <v>94.672131147540981</v>
      </c>
      <c r="I39" s="1309"/>
      <c r="J39" s="1255"/>
      <c r="K39" s="1252"/>
      <c r="L39" s="1252"/>
      <c r="M39" s="1252"/>
      <c r="N39" s="95"/>
      <c r="O39" s="95"/>
      <c r="P39" s="95"/>
      <c r="Q39" s="1244"/>
      <c r="R39" s="1244"/>
      <c r="S39" s="1244"/>
      <c r="T39" s="1244"/>
      <c r="U39" s="1244"/>
    </row>
    <row r="40" spans="1:27" ht="15">
      <c r="A40" s="29"/>
      <c r="B40" s="8"/>
      <c r="C40" s="9"/>
      <c r="D40" s="4" t="s">
        <v>22</v>
      </c>
      <c r="E40" s="1239"/>
      <c r="F40" s="1239"/>
      <c r="G40" s="13" t="s">
        <v>37</v>
      </c>
      <c r="H40" s="1308">
        <f t="shared" si="6"/>
        <v>120.09803921568627</v>
      </c>
      <c r="I40" s="1309"/>
      <c r="J40" s="1255"/>
      <c r="K40" s="1256"/>
      <c r="L40" s="1256"/>
      <c r="M40" s="1256"/>
      <c r="N40" s="95"/>
      <c r="O40" s="95"/>
      <c r="P40" s="95"/>
      <c r="Q40" s="1244"/>
      <c r="R40" s="1244"/>
      <c r="S40" s="1244"/>
      <c r="T40" s="1244"/>
      <c r="U40" s="1244"/>
    </row>
    <row r="41" spans="1:27" ht="15">
      <c r="A41" s="29"/>
      <c r="B41" s="8"/>
      <c r="C41" s="9"/>
      <c r="D41" s="4" t="s">
        <v>23</v>
      </c>
      <c r="E41" s="36"/>
      <c r="F41" s="36"/>
      <c r="G41" s="50" t="s">
        <v>37</v>
      </c>
      <c r="H41" s="1308">
        <f t="shared" si="6"/>
        <v>110.41666666666667</v>
      </c>
      <c r="I41" s="1309"/>
      <c r="J41" s="1255"/>
      <c r="K41" s="1256"/>
      <c r="L41" s="1256"/>
      <c r="M41" s="1256"/>
      <c r="N41" s="95"/>
      <c r="O41" s="95"/>
      <c r="P41" s="95"/>
      <c r="Q41" s="1244"/>
      <c r="R41" s="1244"/>
      <c r="S41" s="1244"/>
      <c r="T41" s="1244"/>
      <c r="U41" s="1244"/>
    </row>
    <row r="42" spans="1:27" ht="15">
      <c r="A42" s="29"/>
      <c r="B42" s="8"/>
      <c r="C42" s="9"/>
      <c r="D42" s="1118" t="s">
        <v>189</v>
      </c>
      <c r="E42" s="36"/>
      <c r="F42" s="36"/>
      <c r="G42" s="50" t="s">
        <v>37</v>
      </c>
      <c r="H42" s="1308" t="e">
        <f>T9/U9*100</f>
        <v>#DIV/0!</v>
      </c>
      <c r="I42" s="1309"/>
      <c r="J42" s="1255"/>
      <c r="K42" s="1256"/>
      <c r="L42" s="1256"/>
      <c r="M42" s="1256"/>
      <c r="N42" s="95"/>
      <c r="O42" s="95"/>
      <c r="P42" s="95"/>
      <c r="Q42" s="1244"/>
      <c r="R42" s="1244"/>
      <c r="S42" s="1244"/>
      <c r="T42" s="1244"/>
      <c r="U42" s="1244"/>
    </row>
    <row r="43" spans="1:27" ht="15">
      <c r="A43" s="30" t="s">
        <v>2</v>
      </c>
      <c r="B43" s="6"/>
      <c r="C43" s="7"/>
      <c r="D43" s="53" t="s">
        <v>16</v>
      </c>
      <c r="E43" s="54"/>
      <c r="F43" s="54"/>
      <c r="G43" s="56" t="s">
        <v>37</v>
      </c>
      <c r="H43" s="1316">
        <f>T10/U10*100</f>
        <v>85.734463276836152</v>
      </c>
      <c r="I43" s="1317"/>
      <c r="J43" s="1249"/>
      <c r="K43" s="1252"/>
      <c r="L43" s="1252"/>
      <c r="M43" s="1251"/>
      <c r="N43" s="95"/>
      <c r="O43" s="95"/>
      <c r="P43" s="95"/>
      <c r="Q43" s="1244"/>
      <c r="R43" s="1244"/>
      <c r="S43" s="1244"/>
      <c r="T43" s="1244"/>
      <c r="U43" s="1244"/>
    </row>
    <row r="44" spans="1:27" ht="15">
      <c r="A44" s="29"/>
      <c r="B44" s="8"/>
      <c r="C44" s="9"/>
      <c r="D44" s="4" t="s">
        <v>17</v>
      </c>
      <c r="E44" s="1239"/>
      <c r="F44" s="1239"/>
      <c r="G44" s="13" t="s">
        <v>37</v>
      </c>
      <c r="H44" s="1308">
        <f>T11/U11*100</f>
        <v>75</v>
      </c>
      <c r="I44" s="1309"/>
      <c r="J44" s="1255"/>
      <c r="K44" s="1252"/>
      <c r="L44" s="1251"/>
      <c r="M44" s="1251"/>
      <c r="N44" s="95"/>
      <c r="O44" s="95"/>
      <c r="P44" s="95"/>
      <c r="Q44" s="1244"/>
      <c r="R44" s="1244"/>
      <c r="S44" s="1244"/>
      <c r="T44" s="1244"/>
      <c r="U44" s="1244"/>
    </row>
    <row r="45" spans="1:27" ht="15">
      <c r="A45" s="29"/>
      <c r="B45" s="8"/>
      <c r="C45" s="9"/>
      <c r="D45" s="4" t="s">
        <v>19</v>
      </c>
      <c r="E45" s="1239"/>
      <c r="F45" s="1239"/>
      <c r="G45" s="13" t="s">
        <v>37</v>
      </c>
      <c r="H45" s="1310" t="s">
        <v>84</v>
      </c>
      <c r="I45" s="1309"/>
      <c r="J45" s="1250"/>
      <c r="K45" s="1254"/>
      <c r="L45" s="1254"/>
      <c r="M45" s="1254"/>
      <c r="N45" s="95"/>
      <c r="O45" s="95"/>
      <c r="P45" s="95"/>
      <c r="Q45" s="1244"/>
      <c r="R45" s="1244"/>
      <c r="S45" s="1244"/>
      <c r="T45" s="1244"/>
      <c r="U45" s="1244"/>
    </row>
    <row r="46" spans="1:27" ht="15">
      <c r="A46" s="29"/>
      <c r="B46" s="8"/>
      <c r="C46" s="9"/>
      <c r="D46" s="49" t="s">
        <v>18</v>
      </c>
      <c r="E46" s="36"/>
      <c r="F46" s="36"/>
      <c r="G46" s="50" t="s">
        <v>37</v>
      </c>
      <c r="H46" s="1319">
        <f>T13/U13*100</f>
        <v>86.111111111111114</v>
      </c>
      <c r="I46" s="1320"/>
      <c r="J46" s="1249"/>
      <c r="K46" s="1252"/>
      <c r="L46" s="1252"/>
      <c r="M46" s="1252"/>
      <c r="N46" s="95"/>
      <c r="O46" s="95"/>
      <c r="P46" s="95"/>
      <c r="Q46" s="1244"/>
      <c r="R46" s="1244"/>
      <c r="S46" s="1244"/>
      <c r="T46" s="1244"/>
      <c r="U46" s="1244"/>
    </row>
    <row r="47" spans="1:27" ht="15">
      <c r="A47" s="30" t="s">
        <v>1</v>
      </c>
      <c r="B47" s="6"/>
      <c r="C47" s="7"/>
      <c r="D47" s="53" t="s">
        <v>16</v>
      </c>
      <c r="E47" s="54" t="s">
        <v>155</v>
      </c>
      <c r="F47" s="54"/>
      <c r="G47" s="54"/>
      <c r="H47" s="1316">
        <f>T14/U14*100</f>
        <v>83.051455514555144</v>
      </c>
      <c r="I47" s="1317"/>
      <c r="J47" s="1249"/>
      <c r="K47" s="1252"/>
      <c r="L47" s="1252"/>
      <c r="M47" s="1252"/>
      <c r="N47" s="95"/>
      <c r="O47" s="95"/>
      <c r="P47" s="95"/>
      <c r="Q47" s="1244"/>
      <c r="R47" s="1244"/>
      <c r="S47" s="1244"/>
      <c r="T47" s="1244"/>
      <c r="U47" s="1244"/>
    </row>
    <row r="48" spans="1:27" ht="15">
      <c r="A48" s="1277"/>
      <c r="B48" s="8"/>
      <c r="C48" s="9"/>
      <c r="D48" s="1100" t="s">
        <v>25</v>
      </c>
      <c r="E48" s="1265"/>
      <c r="F48" s="1265"/>
      <c r="G48" s="1101" t="s">
        <v>37</v>
      </c>
      <c r="H48" s="1321">
        <f>T15/U15*100</f>
        <v>81.652949245541834</v>
      </c>
      <c r="I48" s="1322"/>
      <c r="J48" s="1253"/>
      <c r="K48" s="1251"/>
      <c r="L48" s="1251"/>
      <c r="M48" s="1251"/>
      <c r="N48" s="95"/>
      <c r="O48" s="95"/>
      <c r="P48" s="95"/>
      <c r="Q48" s="1244"/>
      <c r="R48" s="1244"/>
      <c r="S48" s="1244"/>
      <c r="T48" s="1244"/>
      <c r="U48" s="1244"/>
    </row>
    <row r="49" spans="1:21" ht="15">
      <c r="A49" s="29"/>
      <c r="B49" s="8"/>
      <c r="C49" s="9"/>
      <c r="D49" s="4" t="s">
        <v>26</v>
      </c>
      <c r="E49" s="1239"/>
      <c r="F49" s="1239"/>
      <c r="G49" s="13" t="s">
        <v>37</v>
      </c>
      <c r="H49" s="1321">
        <f t="shared" ref="H49:H57" si="7">T16/U16*100</f>
        <v>48.387096774193552</v>
      </c>
      <c r="I49" s="1322"/>
      <c r="J49" s="1255"/>
      <c r="K49" s="1256"/>
      <c r="L49" s="1256"/>
      <c r="M49" s="1252"/>
      <c r="N49" s="95"/>
      <c r="O49" s="95"/>
      <c r="P49" s="95"/>
      <c r="Q49" s="1244"/>
      <c r="R49" s="1244"/>
      <c r="S49" s="1244"/>
      <c r="T49" s="1244"/>
      <c r="U49" s="1244"/>
    </row>
    <row r="50" spans="1:21" ht="15">
      <c r="A50" s="29"/>
      <c r="B50" s="8"/>
      <c r="C50" s="9"/>
      <c r="D50" s="4" t="s">
        <v>27</v>
      </c>
      <c r="E50" s="1239"/>
      <c r="F50" s="1239"/>
      <c r="G50" s="13" t="s">
        <v>37</v>
      </c>
      <c r="H50" s="1321">
        <f t="shared" si="7"/>
        <v>88.520408163265301</v>
      </c>
      <c r="I50" s="1322"/>
      <c r="J50" s="1249"/>
      <c r="K50" s="1252"/>
      <c r="L50" s="1251"/>
      <c r="M50" s="1251"/>
      <c r="N50" s="95"/>
      <c r="O50" s="95"/>
      <c r="P50" s="95"/>
      <c r="Q50" s="1244"/>
      <c r="R50" s="1244"/>
      <c r="S50" s="1244"/>
      <c r="T50" s="1244"/>
      <c r="U50" s="1244"/>
    </row>
    <row r="51" spans="1:21" ht="15">
      <c r="A51" s="29"/>
      <c r="B51" s="8"/>
      <c r="C51" s="9"/>
      <c r="D51" s="4" t="s">
        <v>28</v>
      </c>
      <c r="E51" s="1239"/>
      <c r="F51" s="1239"/>
      <c r="G51" s="13" t="s">
        <v>37</v>
      </c>
      <c r="H51" s="1321">
        <f t="shared" si="7"/>
        <v>163.88888888888889</v>
      </c>
      <c r="I51" s="1322"/>
      <c r="J51" s="1255"/>
      <c r="K51" s="1251"/>
      <c r="L51" s="1251"/>
      <c r="M51" s="1251"/>
      <c r="N51" s="95"/>
      <c r="O51" s="95"/>
      <c r="P51" s="95"/>
      <c r="Q51" s="1244"/>
      <c r="R51" s="1244"/>
      <c r="S51" s="1244"/>
      <c r="T51" s="1244"/>
      <c r="U51" s="1244"/>
    </row>
    <row r="52" spans="1:21" ht="15">
      <c r="A52" s="29"/>
      <c r="B52" s="8"/>
      <c r="C52" s="9"/>
      <c r="D52" s="4" t="s">
        <v>29</v>
      </c>
      <c r="E52" s="1239"/>
      <c r="F52" s="1239"/>
      <c r="G52" s="13" t="s">
        <v>37</v>
      </c>
      <c r="H52" s="1321">
        <f t="shared" si="7"/>
        <v>148.88888888888889</v>
      </c>
      <c r="I52" s="1322"/>
      <c r="J52" s="1249"/>
      <c r="K52" s="1251"/>
      <c r="L52" s="1251"/>
      <c r="M52" s="1251"/>
      <c r="N52" s="95"/>
      <c r="O52" s="95"/>
      <c r="P52" s="95"/>
      <c r="Q52" s="1244"/>
      <c r="R52" s="1244"/>
      <c r="S52" s="1244"/>
      <c r="T52" s="1244"/>
      <c r="U52" s="1244"/>
    </row>
    <row r="53" spans="1:21" ht="15">
      <c r="A53" s="29"/>
      <c r="B53" s="8"/>
      <c r="C53" s="9"/>
      <c r="D53" s="4" t="s">
        <v>5</v>
      </c>
      <c r="E53" s="1239"/>
      <c r="F53" s="1239"/>
      <c r="G53" s="13" t="s">
        <v>37</v>
      </c>
      <c r="H53" s="1321">
        <f t="shared" si="7"/>
        <v>82.093023255813961</v>
      </c>
      <c r="I53" s="1322"/>
      <c r="J53" s="1249"/>
      <c r="K53" s="1251"/>
      <c r="L53" s="1251"/>
      <c r="M53" s="1251"/>
      <c r="N53" s="95"/>
      <c r="O53" s="95"/>
      <c r="P53" s="95"/>
      <c r="Q53" s="1244"/>
      <c r="R53" s="1244"/>
      <c r="S53" s="1244"/>
      <c r="T53" s="1244"/>
      <c r="U53" s="1244"/>
    </row>
    <row r="54" spans="1:21" ht="15">
      <c r="A54" s="29"/>
      <c r="B54" s="8"/>
      <c r="C54" s="9"/>
      <c r="D54" s="4" t="s">
        <v>6</v>
      </c>
      <c r="E54" s="1239"/>
      <c r="F54" s="1239"/>
      <c r="G54" s="13" t="s">
        <v>37</v>
      </c>
      <c r="H54" s="1321">
        <f t="shared" si="7"/>
        <v>27.777777777777779</v>
      </c>
      <c r="I54" s="1322"/>
      <c r="J54" s="1250"/>
      <c r="K54" s="1254"/>
      <c r="L54" s="1254"/>
      <c r="M54" s="1254"/>
      <c r="N54" s="1257"/>
      <c r="O54" s="1257"/>
      <c r="P54" s="1257"/>
      <c r="Q54" s="1244"/>
      <c r="R54" s="1244"/>
      <c r="S54" s="1244"/>
      <c r="T54" s="1244"/>
      <c r="U54" s="1244"/>
    </row>
    <row r="55" spans="1:21" ht="15">
      <c r="A55" s="29"/>
      <c r="B55" s="8"/>
      <c r="C55" s="9"/>
      <c r="D55" s="4" t="s">
        <v>7</v>
      </c>
      <c r="E55" s="1239"/>
      <c r="F55" s="1239"/>
      <c r="G55" s="13" t="s">
        <v>37</v>
      </c>
      <c r="H55" s="1321">
        <f t="shared" si="7"/>
        <v>72.202380952380949</v>
      </c>
      <c r="I55" s="1322"/>
      <c r="J55" s="1255"/>
      <c r="K55" s="1252"/>
      <c r="L55" s="1252"/>
      <c r="M55" s="1252"/>
      <c r="N55" s="95"/>
      <c r="O55" s="95"/>
      <c r="P55" s="95"/>
      <c r="Q55" s="1244"/>
      <c r="R55" s="1244"/>
      <c r="S55" s="1244"/>
      <c r="T55" s="1244"/>
      <c r="U55" s="1244"/>
    </row>
    <row r="56" spans="1:21" ht="15">
      <c r="A56" s="29"/>
      <c r="B56" s="8"/>
      <c r="C56" s="9"/>
      <c r="D56" s="4" t="s">
        <v>11</v>
      </c>
      <c r="E56" s="1239"/>
      <c r="F56" s="1239"/>
      <c r="G56" s="13" t="s">
        <v>37</v>
      </c>
      <c r="H56" s="1321">
        <f t="shared" si="7"/>
        <v>70.606060606060609</v>
      </c>
      <c r="I56" s="1322"/>
      <c r="J56" s="1255"/>
      <c r="K56" s="1251"/>
      <c r="L56" s="1251"/>
      <c r="M56" s="1251"/>
      <c r="N56" s="95"/>
      <c r="O56" s="95"/>
      <c r="P56" s="95"/>
      <c r="Q56" s="1244"/>
      <c r="R56" s="1244"/>
      <c r="S56" s="1244"/>
      <c r="T56" s="1244"/>
      <c r="U56" s="1244"/>
    </row>
    <row r="57" spans="1:21" ht="15">
      <c r="A57" s="29"/>
      <c r="B57" s="8"/>
      <c r="C57" s="9"/>
      <c r="D57" s="4" t="s">
        <v>12</v>
      </c>
      <c r="E57" s="1239"/>
      <c r="F57" s="1239"/>
      <c r="G57" s="13" t="s">
        <v>37</v>
      </c>
      <c r="H57" s="1321">
        <f t="shared" si="7"/>
        <v>22.348484848484848</v>
      </c>
      <c r="I57" s="1322"/>
      <c r="J57" s="1255"/>
      <c r="K57" s="1251"/>
      <c r="L57" s="1256"/>
      <c r="M57" s="1256"/>
      <c r="N57" s="95"/>
      <c r="O57" s="95"/>
      <c r="P57" s="95"/>
      <c r="Q57" s="1244"/>
      <c r="R57" s="1244"/>
      <c r="S57" s="1244"/>
      <c r="T57" s="1244"/>
      <c r="U57" s="1244"/>
    </row>
    <row r="58" spans="1:21" ht="15">
      <c r="A58" s="29"/>
      <c r="B58" s="8"/>
      <c r="C58" s="9"/>
      <c r="D58" s="4" t="s">
        <v>13</v>
      </c>
      <c r="E58" s="1239"/>
      <c r="F58" s="1239"/>
      <c r="G58" s="13" t="s">
        <v>37</v>
      </c>
      <c r="H58" s="1321" t="s">
        <v>191</v>
      </c>
      <c r="I58" s="1322"/>
      <c r="J58" s="1250"/>
      <c r="K58" s="1254"/>
      <c r="L58" s="1254"/>
      <c r="M58" s="1254"/>
      <c r="N58" s="95"/>
      <c r="O58" s="95"/>
      <c r="P58" s="95"/>
      <c r="Q58" s="1244"/>
      <c r="R58" s="1244"/>
      <c r="S58" s="1244"/>
      <c r="T58" s="1244"/>
      <c r="U58" s="1244"/>
    </row>
    <row r="59" spans="1:21" ht="15">
      <c r="A59" s="29"/>
      <c r="B59" s="8"/>
      <c r="C59" s="9"/>
      <c r="D59" s="4" t="s">
        <v>14</v>
      </c>
      <c r="E59" s="1239"/>
      <c r="F59" s="1239"/>
      <c r="G59" s="13" t="s">
        <v>37</v>
      </c>
      <c r="H59" s="1321">
        <f>T25/U25*100</f>
        <v>93.262852404643453</v>
      </c>
      <c r="I59" s="1322"/>
      <c r="J59" s="1249"/>
      <c r="K59" s="1256"/>
      <c r="L59" s="1256"/>
      <c r="M59" s="1252"/>
      <c r="N59" s="95"/>
      <c r="O59" s="95"/>
      <c r="P59" s="95"/>
      <c r="Q59" s="1244"/>
      <c r="R59" s="1244"/>
      <c r="S59" s="1244"/>
      <c r="T59" s="1244"/>
      <c r="U59" s="1244"/>
    </row>
    <row r="60" spans="1:21" ht="15">
      <c r="A60" s="29"/>
      <c r="B60" s="8"/>
      <c r="C60" s="9"/>
      <c r="D60" s="4" t="s">
        <v>33</v>
      </c>
      <c r="E60" s="1239"/>
      <c r="F60" s="1239"/>
      <c r="G60" s="13" t="s">
        <v>37</v>
      </c>
      <c r="H60" s="1321">
        <f t="shared" ref="H60:H67" si="8">T26/U26*100</f>
        <v>75</v>
      </c>
      <c r="I60" s="1322"/>
      <c r="J60" s="1249"/>
      <c r="K60" s="1252"/>
      <c r="L60" s="1252"/>
      <c r="M60" s="1251"/>
      <c r="N60" s="95"/>
      <c r="O60" s="95"/>
      <c r="P60" s="95"/>
      <c r="Q60" s="1244"/>
      <c r="R60" s="1244"/>
      <c r="S60" s="1244"/>
      <c r="T60" s="1244"/>
      <c r="U60" s="1244"/>
    </row>
    <row r="61" spans="1:21" ht="15">
      <c r="A61" s="29"/>
      <c r="B61" s="8"/>
      <c r="C61" s="9"/>
      <c r="D61" s="4" t="s">
        <v>34</v>
      </c>
      <c r="E61" s="1239"/>
      <c r="F61" s="1239"/>
      <c r="G61" s="13" t="s">
        <v>37</v>
      </c>
      <c r="H61" s="1321">
        <f t="shared" si="8"/>
        <v>19.444444444444446</v>
      </c>
      <c r="I61" s="1322"/>
      <c r="J61" s="1249"/>
      <c r="K61" s="1252"/>
      <c r="L61" s="1251"/>
      <c r="M61" s="1251"/>
      <c r="N61" s="95"/>
      <c r="O61" s="95"/>
      <c r="P61" s="95"/>
      <c r="Q61" s="1244"/>
      <c r="R61" s="1244"/>
      <c r="S61" s="1244"/>
      <c r="T61" s="1244"/>
      <c r="U61" s="1244"/>
    </row>
    <row r="62" spans="1:21" ht="15">
      <c r="A62" s="29"/>
      <c r="B62" s="8"/>
      <c r="C62" s="9"/>
      <c r="D62" s="4" t="s">
        <v>3</v>
      </c>
      <c r="E62" s="1239"/>
      <c r="F62" s="1239"/>
      <c r="G62" s="13" t="s">
        <v>37</v>
      </c>
      <c r="H62" s="1321" t="e">
        <f t="shared" si="8"/>
        <v>#DIV/0!</v>
      </c>
      <c r="I62" s="1322"/>
      <c r="J62" s="1250"/>
      <c r="K62" s="1254"/>
      <c r="L62" s="1254"/>
      <c r="M62" s="1254"/>
      <c r="N62" s="95"/>
      <c r="O62" s="95"/>
      <c r="P62" s="95"/>
      <c r="Q62" s="1244"/>
      <c r="R62" s="1244"/>
      <c r="S62" s="1244"/>
      <c r="T62" s="1244"/>
      <c r="U62" s="1244"/>
    </row>
    <row r="63" spans="1:21" ht="15">
      <c r="A63" s="29"/>
      <c r="B63" s="8"/>
      <c r="C63" s="9"/>
      <c r="D63" s="4" t="s">
        <v>4</v>
      </c>
      <c r="E63" s="1239"/>
      <c r="F63" s="1239"/>
      <c r="G63" s="13" t="s">
        <v>37</v>
      </c>
      <c r="H63" s="1321" t="e">
        <f t="shared" si="8"/>
        <v>#DIV/0!</v>
      </c>
      <c r="I63" s="1322"/>
      <c r="J63" s="1250"/>
      <c r="K63" s="1254"/>
      <c r="L63" s="1254"/>
      <c r="M63" s="1254"/>
      <c r="N63" s="95"/>
      <c r="O63" s="95"/>
      <c r="P63" s="95"/>
      <c r="Q63" s="1244"/>
      <c r="R63" s="1244"/>
      <c r="S63" s="1244"/>
      <c r="T63" s="1244"/>
      <c r="U63" s="1244"/>
    </row>
    <row r="64" spans="1:21" ht="15">
      <c r="A64" s="29"/>
      <c r="B64" s="8"/>
      <c r="C64" s="9"/>
      <c r="D64" s="4" t="s">
        <v>8</v>
      </c>
      <c r="E64" s="1239"/>
      <c r="F64" s="1239"/>
      <c r="G64" s="13" t="s">
        <v>37</v>
      </c>
      <c r="H64" s="1321">
        <f t="shared" si="8"/>
        <v>42.117117117117111</v>
      </c>
      <c r="I64" s="1322"/>
      <c r="J64" s="1253"/>
      <c r="K64" s="1251"/>
      <c r="L64" s="1251"/>
      <c r="M64" s="1251"/>
      <c r="N64" s="95"/>
      <c r="O64" s="95"/>
      <c r="P64" s="95"/>
      <c r="Q64" s="1244"/>
      <c r="R64" s="1244"/>
      <c r="S64" s="1244"/>
      <c r="T64" s="1244"/>
      <c r="U64" s="1244"/>
    </row>
    <row r="65" spans="1:21" ht="15">
      <c r="A65" s="29"/>
      <c r="B65" s="8"/>
      <c r="C65" s="9"/>
      <c r="D65" s="4" t="s">
        <v>9</v>
      </c>
      <c r="E65" s="1239"/>
      <c r="F65" s="1239"/>
      <c r="G65" s="13" t="s">
        <v>37</v>
      </c>
      <c r="H65" s="1321">
        <f t="shared" si="8"/>
        <v>0</v>
      </c>
      <c r="I65" s="1322"/>
      <c r="J65" s="1250"/>
      <c r="K65" s="1254"/>
      <c r="L65" s="1254"/>
      <c r="M65" s="1254"/>
      <c r="N65" s="95"/>
      <c r="O65" s="95"/>
      <c r="P65" s="95"/>
      <c r="Q65" s="1244"/>
      <c r="R65" s="1244"/>
      <c r="S65" s="1244"/>
      <c r="T65" s="1244"/>
      <c r="U65" s="1244"/>
    </row>
    <row r="66" spans="1:21" ht="15">
      <c r="A66" s="29"/>
      <c r="B66" s="8"/>
      <c r="C66" s="9"/>
      <c r="D66" s="4" t="s">
        <v>10</v>
      </c>
      <c r="E66" s="1239"/>
      <c r="F66" s="1239"/>
      <c r="G66" s="13" t="s">
        <v>37</v>
      </c>
      <c r="H66" s="1321" t="e">
        <f t="shared" si="8"/>
        <v>#DIV/0!</v>
      </c>
      <c r="I66" s="1322"/>
      <c r="J66" s="1250"/>
      <c r="K66" s="1254"/>
      <c r="L66" s="1254"/>
      <c r="M66" s="1254"/>
      <c r="N66" s="95"/>
      <c r="O66" s="95"/>
      <c r="P66" s="95"/>
      <c r="Q66" s="1244"/>
      <c r="R66" s="1244"/>
      <c r="S66" s="1244"/>
      <c r="T66" s="1244"/>
      <c r="U66" s="1244"/>
    </row>
    <row r="67" spans="1:21" ht="15.75" thickBot="1">
      <c r="A67" s="31"/>
      <c r="B67" s="32"/>
      <c r="C67" s="33"/>
      <c r="D67" s="34" t="s">
        <v>15</v>
      </c>
      <c r="E67" s="43"/>
      <c r="F67" s="43"/>
      <c r="G67" s="44" t="s">
        <v>37</v>
      </c>
      <c r="H67" s="1323">
        <f t="shared" si="8"/>
        <v>87.348696461824943</v>
      </c>
      <c r="I67" s="1324"/>
      <c r="J67" s="1249"/>
      <c r="K67" s="1252"/>
      <c r="L67" s="1252"/>
      <c r="M67" s="1251"/>
      <c r="N67" s="95"/>
      <c r="O67" s="95"/>
      <c r="P67" s="95"/>
      <c r="Q67" s="1244"/>
      <c r="R67" s="1244"/>
      <c r="S67" s="1244"/>
      <c r="T67" s="1244"/>
      <c r="U67" s="1244"/>
    </row>
    <row r="68" spans="1:21" ht="15" customHeight="1">
      <c r="A68" s="1294" t="s">
        <v>87</v>
      </c>
      <c r="B68" s="1318"/>
      <c r="C68" s="1318"/>
      <c r="D68" s="1318"/>
      <c r="E68" s="1318"/>
      <c r="F68" s="1318"/>
      <c r="G68" s="1318"/>
      <c r="H68" s="1318"/>
      <c r="I68" s="1318"/>
      <c r="J68" s="1318"/>
      <c r="K68" s="1318"/>
      <c r="L68" s="1318"/>
      <c r="M68" s="1318"/>
      <c r="N68" s="1318"/>
      <c r="O68" s="1318"/>
      <c r="P68" s="1318"/>
      <c r="Q68" s="1318"/>
      <c r="R68" s="1318"/>
      <c r="S68" s="1318"/>
      <c r="T68" s="1318"/>
      <c r="U68" s="1318"/>
    </row>
    <row r="69" spans="1:21" ht="15" customHeight="1">
      <c r="A69" s="1318"/>
      <c r="B69" s="1318"/>
      <c r="C69" s="1318"/>
      <c r="D69" s="1318"/>
      <c r="E69" s="1318"/>
      <c r="F69" s="1318"/>
      <c r="G69" s="1318"/>
      <c r="H69" s="1318"/>
      <c r="I69" s="1318"/>
      <c r="J69" s="1318"/>
      <c r="K69" s="1318"/>
      <c r="L69" s="1318"/>
      <c r="M69" s="1318"/>
      <c r="N69" s="1318"/>
      <c r="O69" s="1318"/>
      <c r="P69" s="1318"/>
      <c r="Q69" s="1318"/>
      <c r="R69" s="1318"/>
      <c r="S69" s="1318"/>
      <c r="T69" s="1318"/>
      <c r="U69" s="1318"/>
    </row>
  </sheetData>
  <mergeCells count="37">
    <mergeCell ref="H61:I61"/>
    <mergeCell ref="H67:I67"/>
    <mergeCell ref="H66:I66"/>
    <mergeCell ref="H65:I65"/>
    <mergeCell ref="H64:I64"/>
    <mergeCell ref="H63:I63"/>
    <mergeCell ref="H62:I62"/>
    <mergeCell ref="A68:U69"/>
    <mergeCell ref="H46:I46"/>
    <mergeCell ref="H48:I48"/>
    <mergeCell ref="H50:I50"/>
    <mergeCell ref="H51:I51"/>
    <mergeCell ref="H52:I52"/>
    <mergeCell ref="H53:I53"/>
    <mergeCell ref="H54:I54"/>
    <mergeCell ref="H55:I55"/>
    <mergeCell ref="H56:I56"/>
    <mergeCell ref="H49:I49"/>
    <mergeCell ref="H57:I57"/>
    <mergeCell ref="H58:I58"/>
    <mergeCell ref="H47:I47"/>
    <mergeCell ref="H60:I60"/>
    <mergeCell ref="H59:I59"/>
    <mergeCell ref="A4:C9"/>
    <mergeCell ref="A10:C13"/>
    <mergeCell ref="H44:I44"/>
    <mergeCell ref="H45:I45"/>
    <mergeCell ref="H2:T2"/>
    <mergeCell ref="H35:I35"/>
    <mergeCell ref="H37:I37"/>
    <mergeCell ref="H38:I38"/>
    <mergeCell ref="H39:I39"/>
    <mergeCell ref="H40:I40"/>
    <mergeCell ref="H36:I36"/>
    <mergeCell ref="H42:I42"/>
    <mergeCell ref="H41:I41"/>
    <mergeCell ref="H43:I43"/>
  </mergeCells>
  <phoneticPr fontId="5"/>
  <pageMargins left="0.70866141732283472" right="0.70866141732283472" top="0.55118110236220474" bottom="0.55118110236220474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4618A-E371-4F89-87C7-D6F0CB61B088}">
  <dimension ref="A1:AA69"/>
  <sheetViews>
    <sheetView showGridLines="0" view="pageBreakPreview" topLeftCell="A21" zoomScaleNormal="100" zoomScaleSheetLayoutView="100" workbookViewId="0">
      <pane xSplit="7" topLeftCell="Q1" activePane="topRight" state="frozen"/>
      <selection activeCell="L20" sqref="L20"/>
      <selection pane="topRight" activeCell="Q40" sqref="Q40"/>
    </sheetView>
  </sheetViews>
  <sheetFormatPr defaultRowHeight="11.25"/>
  <cols>
    <col min="1" max="1" width="2.75" style="1" customWidth="1"/>
    <col min="2" max="3" width="6.625" style="1" customWidth="1"/>
    <col min="4" max="4" width="9.875" style="1" customWidth="1"/>
    <col min="5" max="5" width="13.875" style="1" customWidth="1"/>
    <col min="6" max="6" width="10.875" style="1" customWidth="1"/>
    <col min="7" max="7" width="6.375" style="1" bestFit="1" customWidth="1"/>
    <col min="8" max="19" width="11" style="1" customWidth="1"/>
    <col min="20" max="21" width="12.125" style="1" customWidth="1"/>
    <col min="22" max="27" width="7.875" style="1" customWidth="1"/>
    <col min="28" max="28" width="5.625" style="1" customWidth="1"/>
    <col min="29" max="16384" width="9" style="1"/>
  </cols>
  <sheetData>
    <row r="1" spans="1:27" ht="29.25" customHeight="1" thickBot="1">
      <c r="A1" s="2" t="s">
        <v>186</v>
      </c>
      <c r="B1" s="1140"/>
      <c r="C1" s="1140"/>
      <c r="D1" s="1140"/>
      <c r="E1" s="1140"/>
      <c r="F1" s="1140"/>
      <c r="G1" s="1140"/>
      <c r="H1" s="1140"/>
      <c r="I1" s="1140"/>
      <c r="J1" s="1140"/>
      <c r="K1" s="1140"/>
      <c r="L1" s="1140"/>
      <c r="M1" s="1140"/>
      <c r="N1" s="1140"/>
      <c r="O1" s="1140"/>
      <c r="P1" s="1140"/>
      <c r="Q1" s="1140"/>
      <c r="R1" s="1140"/>
      <c r="S1" s="1140"/>
      <c r="T1" s="1140"/>
      <c r="U1" s="1140"/>
      <c r="V1" s="1140"/>
      <c r="W1" s="1140"/>
      <c r="X1" s="1140"/>
      <c r="Y1" s="1140"/>
      <c r="Z1" s="1140"/>
      <c r="AA1" s="1140"/>
    </row>
    <row r="2" spans="1:27" ht="16.5" customHeight="1">
      <c r="A2" s="10"/>
      <c r="B2" s="11"/>
      <c r="C2" s="11"/>
      <c r="D2" s="11"/>
      <c r="E2" s="11"/>
      <c r="F2" s="11"/>
      <c r="G2" s="11"/>
      <c r="H2" s="1284" t="s">
        <v>74</v>
      </c>
      <c r="I2" s="1285"/>
      <c r="J2" s="1285"/>
      <c r="K2" s="1285"/>
      <c r="L2" s="1285"/>
      <c r="M2" s="1285"/>
      <c r="N2" s="1285"/>
      <c r="O2" s="1285"/>
      <c r="P2" s="1285"/>
      <c r="Q2" s="1285"/>
      <c r="R2" s="1285"/>
      <c r="S2" s="1285"/>
      <c r="T2" s="1311"/>
      <c r="U2" s="1266" t="s">
        <v>54</v>
      </c>
      <c r="V2" s="1005"/>
      <c r="W2" s="1005"/>
      <c r="X2" s="1005"/>
      <c r="Y2" s="1005"/>
      <c r="Z2" s="1005"/>
      <c r="AA2" s="1005"/>
    </row>
    <row r="3" spans="1:27" ht="15.75" thickBot="1">
      <c r="A3" s="19"/>
      <c r="B3" s="20"/>
      <c r="C3" s="20"/>
      <c r="D3" s="20"/>
      <c r="E3" s="20"/>
      <c r="F3" s="20"/>
      <c r="G3" s="20"/>
      <c r="H3" s="1006" t="s">
        <v>182</v>
      </c>
      <c r="I3" s="25" t="s">
        <v>181</v>
      </c>
      <c r="J3" s="25" t="s">
        <v>180</v>
      </c>
      <c r="K3" s="25" t="s">
        <v>179</v>
      </c>
      <c r="L3" s="25" t="s">
        <v>178</v>
      </c>
      <c r="M3" s="25" t="s">
        <v>177</v>
      </c>
      <c r="N3" s="25" t="s">
        <v>176</v>
      </c>
      <c r="O3" s="25" t="s">
        <v>175</v>
      </c>
      <c r="P3" s="25" t="s">
        <v>174</v>
      </c>
      <c r="Q3" s="25" t="s">
        <v>173</v>
      </c>
      <c r="R3" s="25" t="s">
        <v>172</v>
      </c>
      <c r="S3" s="27" t="s">
        <v>171</v>
      </c>
      <c r="T3" s="1176" t="s">
        <v>170</v>
      </c>
      <c r="U3" s="1176" t="s">
        <v>170</v>
      </c>
      <c r="V3" s="94"/>
      <c r="W3" s="94"/>
      <c r="X3" s="92"/>
      <c r="Y3" s="94"/>
      <c r="Z3" s="94"/>
      <c r="AA3" s="94"/>
    </row>
    <row r="4" spans="1:27" ht="15.75" thickTop="1">
      <c r="A4" s="39" t="s">
        <v>20</v>
      </c>
      <c r="B4" s="36"/>
      <c r="C4" s="36"/>
      <c r="D4" s="53" t="s">
        <v>16</v>
      </c>
      <c r="E4" s="54"/>
      <c r="F4" s="54"/>
      <c r="G4" s="55" t="s">
        <v>41</v>
      </c>
      <c r="H4" s="1268">
        <f t="shared" ref="H4:Q4" si="0">SUM(H5:H9)</f>
        <v>67239304</v>
      </c>
      <c r="I4" s="1082">
        <f t="shared" si="0"/>
        <v>64189799</v>
      </c>
      <c r="J4" s="1082">
        <f t="shared" si="0"/>
        <v>65829742</v>
      </c>
      <c r="K4" s="1082">
        <f t="shared" si="0"/>
        <v>63392584</v>
      </c>
      <c r="L4" s="1082">
        <f t="shared" si="0"/>
        <v>65194441</v>
      </c>
      <c r="M4" s="1082">
        <f t="shared" si="0"/>
        <v>64425065</v>
      </c>
      <c r="N4" s="1082">
        <f t="shared" si="0"/>
        <v>63133076</v>
      </c>
      <c r="O4" s="1082">
        <f t="shared" si="0"/>
        <v>66317069</v>
      </c>
      <c r="P4" s="1082">
        <f t="shared" si="0"/>
        <v>64070741</v>
      </c>
      <c r="Q4" s="1082">
        <f t="shared" si="0"/>
        <v>65416781</v>
      </c>
      <c r="R4" s="1082">
        <f>SUM(R5:R9)</f>
        <v>67089177</v>
      </c>
      <c r="S4" s="1083">
        <f>SUM(S5:S9)</f>
        <v>61543777</v>
      </c>
      <c r="T4" s="1092">
        <f>SUM(T5:T9)</f>
        <v>777841556</v>
      </c>
      <c r="U4" s="1092">
        <f>SUM(U5:U8)</f>
        <v>722472000</v>
      </c>
      <c r="V4" s="1255"/>
      <c r="W4" s="1255"/>
      <c r="X4" s="1252"/>
      <c r="Y4" s="1252"/>
      <c r="Z4" s="1252"/>
      <c r="AA4" s="1252"/>
    </row>
    <row r="5" spans="1:27" ht="15">
      <c r="A5" s="14"/>
      <c r="B5" s="38"/>
      <c r="C5" s="38"/>
      <c r="D5" s="4" t="s">
        <v>21</v>
      </c>
      <c r="E5" s="47"/>
      <c r="F5" s="47"/>
      <c r="G5" s="48" t="s">
        <v>35</v>
      </c>
      <c r="H5" s="1014">
        <v>27826785</v>
      </c>
      <c r="I5" s="1015">
        <v>25880022</v>
      </c>
      <c r="J5" s="1015">
        <v>28142190</v>
      </c>
      <c r="K5" s="1016">
        <v>26805366</v>
      </c>
      <c r="L5" s="1016">
        <v>27593874</v>
      </c>
      <c r="M5" s="1016">
        <v>28140822</v>
      </c>
      <c r="N5" s="1015">
        <v>26144298</v>
      </c>
      <c r="O5" s="1015">
        <v>26853192</v>
      </c>
      <c r="P5" s="1015">
        <v>26225262</v>
      </c>
      <c r="Q5" s="1016">
        <v>26381124</v>
      </c>
      <c r="R5" s="1016">
        <v>26395601</v>
      </c>
      <c r="S5" s="1017">
        <v>25367935</v>
      </c>
      <c r="T5" s="1017">
        <f t="shared" ref="T5:T33" si="1">SUM(H5:S5)</f>
        <v>321756471</v>
      </c>
      <c r="U5" s="1017">
        <v>316199000</v>
      </c>
      <c r="V5" s="1255"/>
      <c r="W5" s="1255"/>
      <c r="X5" s="1251"/>
      <c r="Y5" s="1251"/>
      <c r="Z5" s="1251"/>
      <c r="AA5" s="1251"/>
    </row>
    <row r="6" spans="1:27" ht="15">
      <c r="A6" s="14"/>
      <c r="B6" s="38"/>
      <c r="C6" s="38"/>
      <c r="D6" s="4" t="s">
        <v>32</v>
      </c>
      <c r="E6" s="1259"/>
      <c r="F6" s="1259"/>
      <c r="G6" s="13" t="s">
        <v>35</v>
      </c>
      <c r="H6" s="1014">
        <v>17112812</v>
      </c>
      <c r="I6" s="1015">
        <v>16585760</v>
      </c>
      <c r="J6" s="1015">
        <v>16655992</v>
      </c>
      <c r="K6" s="1016">
        <v>15814154</v>
      </c>
      <c r="L6" s="1016">
        <v>16135261</v>
      </c>
      <c r="M6" s="1016">
        <v>15985910</v>
      </c>
      <c r="N6" s="1015">
        <v>15655063</v>
      </c>
      <c r="O6" s="1015">
        <v>16447167</v>
      </c>
      <c r="P6" s="1015">
        <v>15185835</v>
      </c>
      <c r="Q6" s="1016">
        <v>15720425</v>
      </c>
      <c r="R6" s="1016">
        <v>17248679</v>
      </c>
      <c r="S6" s="1017">
        <v>14672261</v>
      </c>
      <c r="T6" s="1017">
        <f t="shared" si="1"/>
        <v>193219319</v>
      </c>
      <c r="U6" s="1017">
        <v>190178000</v>
      </c>
      <c r="V6" s="1255"/>
      <c r="W6" s="1249"/>
      <c r="X6" s="1256"/>
      <c r="Y6" s="1256"/>
      <c r="Z6" s="1256"/>
      <c r="AA6" s="1256"/>
    </row>
    <row r="7" spans="1:27" ht="15">
      <c r="A7" s="14"/>
      <c r="B7" s="38"/>
      <c r="C7" s="38"/>
      <c r="D7" s="4" t="s">
        <v>22</v>
      </c>
      <c r="E7" s="1259"/>
      <c r="F7" s="1259"/>
      <c r="G7" s="13" t="s">
        <v>35</v>
      </c>
      <c r="H7" s="1014">
        <v>17363954</v>
      </c>
      <c r="I7" s="1015">
        <v>17122821</v>
      </c>
      <c r="J7" s="1015">
        <v>16779933</v>
      </c>
      <c r="K7" s="1016">
        <v>15652001</v>
      </c>
      <c r="L7" s="1016">
        <v>16785198</v>
      </c>
      <c r="M7" s="1016">
        <v>16032486</v>
      </c>
      <c r="N7" s="1015">
        <v>16458937</v>
      </c>
      <c r="O7" s="1015">
        <v>18392429</v>
      </c>
      <c r="P7" s="1015">
        <v>17763230</v>
      </c>
      <c r="Q7" s="1016">
        <v>18104493</v>
      </c>
      <c r="R7" s="1016">
        <v>18618467</v>
      </c>
      <c r="S7" s="1017">
        <v>16692757</v>
      </c>
      <c r="T7" s="1017">
        <f t="shared" si="1"/>
        <v>205766706</v>
      </c>
      <c r="U7" s="1017">
        <v>164216000</v>
      </c>
      <c r="V7" s="1255"/>
      <c r="W7" s="1255"/>
      <c r="X7" s="1256"/>
      <c r="Y7" s="1256"/>
      <c r="Z7" s="1256"/>
      <c r="AA7" s="1256"/>
    </row>
    <row r="8" spans="1:27" ht="15">
      <c r="A8" s="14"/>
      <c r="B8" s="38"/>
      <c r="C8" s="38"/>
      <c r="D8" s="4" t="s">
        <v>23</v>
      </c>
      <c r="E8" s="1259"/>
      <c r="F8" s="1259"/>
      <c r="G8" s="13" t="s">
        <v>35</v>
      </c>
      <c r="H8" s="1014">
        <v>4935753</v>
      </c>
      <c r="I8" s="1015">
        <v>4601196</v>
      </c>
      <c r="J8" s="1015">
        <v>4251627</v>
      </c>
      <c r="K8" s="1016">
        <v>5121063</v>
      </c>
      <c r="L8" s="1016">
        <v>4680108</v>
      </c>
      <c r="M8" s="1016">
        <v>4265847</v>
      </c>
      <c r="N8" s="1015">
        <v>4874778</v>
      </c>
      <c r="O8" s="1015">
        <v>4624281</v>
      </c>
      <c r="P8" s="1015">
        <v>4896414</v>
      </c>
      <c r="Q8" s="1016">
        <v>5210739</v>
      </c>
      <c r="R8" s="1016">
        <v>4826430</v>
      </c>
      <c r="S8" s="1017">
        <v>4762890</v>
      </c>
      <c r="T8" s="1017">
        <f t="shared" si="1"/>
        <v>57051126</v>
      </c>
      <c r="U8" s="1017">
        <v>51879000</v>
      </c>
      <c r="V8" s="1249"/>
      <c r="W8" s="1255"/>
      <c r="X8" s="1256"/>
      <c r="Y8" s="1256"/>
      <c r="Z8" s="1256"/>
      <c r="AA8" s="1256"/>
    </row>
    <row r="9" spans="1:27" ht="15.75" thickBot="1">
      <c r="A9" s="14"/>
      <c r="B9" s="38"/>
      <c r="C9" s="38"/>
      <c r="D9" s="1118" t="s">
        <v>189</v>
      </c>
      <c r="E9" s="38"/>
      <c r="F9" s="38"/>
      <c r="G9" s="41" t="s">
        <v>190</v>
      </c>
      <c r="H9" s="1269">
        <v>0</v>
      </c>
      <c r="I9" s="1270">
        <v>0</v>
      </c>
      <c r="J9" s="1270">
        <v>0</v>
      </c>
      <c r="K9" s="1271">
        <v>0</v>
      </c>
      <c r="L9" s="1271">
        <v>0</v>
      </c>
      <c r="M9" s="1271">
        <v>0</v>
      </c>
      <c r="N9" s="1270">
        <v>0</v>
      </c>
      <c r="O9" s="1270">
        <v>0</v>
      </c>
      <c r="P9" s="1270">
        <v>0</v>
      </c>
      <c r="Q9" s="1270">
        <v>0</v>
      </c>
      <c r="R9" s="1271">
        <v>0</v>
      </c>
      <c r="S9" s="1272">
        <v>47934</v>
      </c>
      <c r="T9" s="1079">
        <f t="shared" si="1"/>
        <v>47934</v>
      </c>
      <c r="U9" s="1135">
        <v>0</v>
      </c>
      <c r="V9" s="1249"/>
      <c r="W9" s="1255"/>
      <c r="X9" s="1256"/>
      <c r="Y9" s="1256"/>
      <c r="Z9" s="1256"/>
      <c r="AA9" s="1256"/>
    </row>
    <row r="10" spans="1:27" ht="15">
      <c r="A10" s="39" t="s">
        <v>2</v>
      </c>
      <c r="B10" s="36"/>
      <c r="C10" s="36"/>
      <c r="D10" s="53" t="s">
        <v>16</v>
      </c>
      <c r="E10" s="54"/>
      <c r="F10" s="54"/>
      <c r="G10" s="56" t="s">
        <v>35</v>
      </c>
      <c r="H10" s="1275">
        <f>SUM(H11:H13)</f>
        <v>13523283</v>
      </c>
      <c r="I10" s="1039">
        <f t="shared" ref="I10:S10" si="2">SUM(I11:I13)</f>
        <v>12578526</v>
      </c>
      <c r="J10" s="1039">
        <f t="shared" si="2"/>
        <v>13234833</v>
      </c>
      <c r="K10" s="1039">
        <f t="shared" si="2"/>
        <v>13107276</v>
      </c>
      <c r="L10" s="1039">
        <f t="shared" si="2"/>
        <v>12977145</v>
      </c>
      <c r="M10" s="1039">
        <f t="shared" si="2"/>
        <v>12059271</v>
      </c>
      <c r="N10" s="1039">
        <f t="shared" si="2"/>
        <v>11297673</v>
      </c>
      <c r="O10" s="1039">
        <f t="shared" si="2"/>
        <v>12534705</v>
      </c>
      <c r="P10" s="1039">
        <f t="shared" si="2"/>
        <v>11700531</v>
      </c>
      <c r="Q10" s="1039">
        <f t="shared" si="2"/>
        <v>12381345</v>
      </c>
      <c r="R10" s="1039">
        <f t="shared" si="2"/>
        <v>12865770</v>
      </c>
      <c r="S10" s="1276">
        <f t="shared" si="2"/>
        <v>11912211</v>
      </c>
      <c r="T10" s="1128">
        <f>SUM(T11:T13)</f>
        <v>150172569</v>
      </c>
      <c r="U10" s="1041">
        <f>SUM(U11:U13)</f>
        <v>173282000</v>
      </c>
      <c r="V10" s="1249"/>
      <c r="W10" s="1253"/>
      <c r="X10" s="1252"/>
      <c r="Y10" s="1252"/>
      <c r="Z10" s="1252"/>
      <c r="AA10" s="1252"/>
    </row>
    <row r="11" spans="1:27" ht="15">
      <c r="A11" s="14"/>
      <c r="B11" s="38"/>
      <c r="C11" s="38"/>
      <c r="D11" s="4" t="s">
        <v>17</v>
      </c>
      <c r="E11" s="1259"/>
      <c r="F11" s="1259"/>
      <c r="G11" s="13" t="s">
        <v>35</v>
      </c>
      <c r="H11" s="1014">
        <v>296091</v>
      </c>
      <c r="I11" s="1015">
        <v>339426</v>
      </c>
      <c r="J11" s="1015">
        <v>173097</v>
      </c>
      <c r="K11" s="1016">
        <v>589554</v>
      </c>
      <c r="L11" s="1016">
        <v>411480</v>
      </c>
      <c r="M11" s="1016">
        <v>283518</v>
      </c>
      <c r="N11" s="1015">
        <v>164538</v>
      </c>
      <c r="O11" s="1015">
        <v>173097</v>
      </c>
      <c r="P11" s="1015">
        <v>164538</v>
      </c>
      <c r="Q11" s="1016">
        <v>173097</v>
      </c>
      <c r="R11" s="1016">
        <v>173097</v>
      </c>
      <c r="S11" s="1017">
        <v>156339</v>
      </c>
      <c r="T11" s="1017">
        <f t="shared" si="1"/>
        <v>3097872</v>
      </c>
      <c r="U11" s="1017">
        <v>5141000</v>
      </c>
      <c r="V11" s="1255"/>
      <c r="W11" s="1253"/>
      <c r="X11" s="1251"/>
      <c r="Y11" s="1252"/>
      <c r="Z11" s="1251"/>
      <c r="AA11" s="1251"/>
    </row>
    <row r="12" spans="1:27" ht="15">
      <c r="A12" s="14"/>
      <c r="B12" s="38"/>
      <c r="C12" s="38"/>
      <c r="D12" s="4" t="s">
        <v>19</v>
      </c>
      <c r="E12" s="1259"/>
      <c r="F12" s="1259"/>
      <c r="G12" s="13" t="s">
        <v>35</v>
      </c>
      <c r="H12" s="1014">
        <v>0</v>
      </c>
      <c r="I12" s="1015">
        <v>0</v>
      </c>
      <c r="J12" s="1015">
        <v>0</v>
      </c>
      <c r="K12" s="1016">
        <v>0</v>
      </c>
      <c r="L12" s="1016">
        <v>0</v>
      </c>
      <c r="M12" s="1016">
        <v>0</v>
      </c>
      <c r="N12" s="1015">
        <v>0</v>
      </c>
      <c r="O12" s="1015">
        <v>0</v>
      </c>
      <c r="P12" s="1015">
        <v>0</v>
      </c>
      <c r="Q12" s="1016">
        <v>0</v>
      </c>
      <c r="R12" s="1016">
        <v>0</v>
      </c>
      <c r="S12" s="1017">
        <v>0</v>
      </c>
      <c r="T12" s="1017">
        <f t="shared" si="1"/>
        <v>0</v>
      </c>
      <c r="U12" s="1017">
        <v>0</v>
      </c>
      <c r="V12" s="1250"/>
      <c r="W12" s="1250"/>
      <c r="X12" s="1254"/>
      <c r="Y12" s="1254"/>
      <c r="Z12" s="1254"/>
      <c r="AA12" s="1254"/>
    </row>
    <row r="13" spans="1:27" ht="15">
      <c r="A13" s="1264"/>
      <c r="B13" s="1265"/>
      <c r="C13" s="1265"/>
      <c r="D13" s="4" t="s">
        <v>18</v>
      </c>
      <c r="E13" s="1259"/>
      <c r="F13" s="1259"/>
      <c r="G13" s="13" t="s">
        <v>35</v>
      </c>
      <c r="H13" s="1042">
        <v>13227192</v>
      </c>
      <c r="I13" s="1043">
        <v>12239100</v>
      </c>
      <c r="J13" s="1043">
        <v>13061736</v>
      </c>
      <c r="K13" s="1044">
        <v>12517722</v>
      </c>
      <c r="L13" s="1044">
        <v>12565665</v>
      </c>
      <c r="M13" s="1044">
        <v>11775753</v>
      </c>
      <c r="N13" s="1043">
        <v>11133135</v>
      </c>
      <c r="O13" s="1043">
        <v>12361608</v>
      </c>
      <c r="P13" s="1043">
        <v>11535993</v>
      </c>
      <c r="Q13" s="1044">
        <v>12208248</v>
      </c>
      <c r="R13" s="1044">
        <v>12692673</v>
      </c>
      <c r="S13" s="1045">
        <v>11755872</v>
      </c>
      <c r="T13" s="1045">
        <f t="shared" si="1"/>
        <v>147074697</v>
      </c>
      <c r="U13" s="1045">
        <v>168141000</v>
      </c>
      <c r="V13" s="1249"/>
      <c r="W13" s="1253"/>
      <c r="X13" s="1252"/>
      <c r="Y13" s="1252"/>
      <c r="Z13" s="1252"/>
      <c r="AA13" s="1252"/>
    </row>
    <row r="14" spans="1:27" ht="15">
      <c r="A14" s="39" t="s">
        <v>1</v>
      </c>
      <c r="B14" s="36"/>
      <c r="C14" s="36"/>
      <c r="D14" s="53" t="s">
        <v>16</v>
      </c>
      <c r="E14" s="54"/>
      <c r="F14" s="54"/>
      <c r="G14" s="56" t="s">
        <v>35</v>
      </c>
      <c r="H14" s="1038">
        <f>SUM(H15:H33)</f>
        <v>79529689</v>
      </c>
      <c r="I14" s="1039">
        <f t="shared" ref="I14:U14" si="3">SUM(I15:I33)</f>
        <v>77553724</v>
      </c>
      <c r="J14" s="1039">
        <f t="shared" si="3"/>
        <v>80930209</v>
      </c>
      <c r="K14" s="1040">
        <f t="shared" si="3"/>
        <v>80460220</v>
      </c>
      <c r="L14" s="1040">
        <f t="shared" si="3"/>
        <v>85850611</v>
      </c>
      <c r="M14" s="1040">
        <f t="shared" si="3"/>
        <v>83033714</v>
      </c>
      <c r="N14" s="1039">
        <f t="shared" si="3"/>
        <v>82961187</v>
      </c>
      <c r="O14" s="1039">
        <f>SUM(O15:O33)</f>
        <v>84649605</v>
      </c>
      <c r="P14" s="1039">
        <f t="shared" si="3"/>
        <v>80911837</v>
      </c>
      <c r="Q14" s="1040">
        <f t="shared" si="3"/>
        <v>83971735</v>
      </c>
      <c r="R14" s="1040">
        <f t="shared" si="3"/>
        <v>79304537</v>
      </c>
      <c r="S14" s="1041">
        <f>SUM(S15:S33)</f>
        <v>76198706</v>
      </c>
      <c r="T14" s="1128">
        <f>SUM(T15:T33)</f>
        <v>975355774</v>
      </c>
      <c r="U14" s="1047">
        <f t="shared" si="3"/>
        <v>1267156000</v>
      </c>
      <c r="V14" s="1253"/>
      <c r="W14" s="1249"/>
      <c r="X14" s="1252"/>
      <c r="Y14" s="1252"/>
      <c r="Z14" s="1252"/>
      <c r="AA14" s="1251"/>
    </row>
    <row r="15" spans="1:27" ht="15">
      <c r="A15" s="14"/>
      <c r="B15" s="38"/>
      <c r="C15" s="38"/>
      <c r="D15" s="4" t="s">
        <v>25</v>
      </c>
      <c r="E15" s="1259"/>
      <c r="F15" s="1259"/>
      <c r="G15" s="13" t="s">
        <v>35</v>
      </c>
      <c r="H15" s="1014">
        <v>20303933</v>
      </c>
      <c r="I15" s="1015">
        <v>20239798</v>
      </c>
      <c r="J15" s="1015">
        <v>21295728</v>
      </c>
      <c r="K15" s="1016">
        <v>20597322</v>
      </c>
      <c r="L15" s="1016">
        <v>22168576</v>
      </c>
      <c r="M15" s="1126">
        <v>21024459</v>
      </c>
      <c r="N15" s="1126">
        <v>22551234</v>
      </c>
      <c r="O15" s="1126">
        <v>23520929</v>
      </c>
      <c r="P15" s="1126">
        <v>22795798</v>
      </c>
      <c r="Q15" s="1126">
        <v>24313530</v>
      </c>
      <c r="R15" s="1126">
        <v>23959216</v>
      </c>
      <c r="S15" s="1126">
        <v>21835729</v>
      </c>
      <c r="T15" s="1017">
        <f t="shared" si="1"/>
        <v>264606252</v>
      </c>
      <c r="U15" s="1017">
        <v>259292000</v>
      </c>
      <c r="V15" s="1253"/>
      <c r="W15" s="1253"/>
      <c r="X15" s="1251"/>
      <c r="Y15" s="1252"/>
      <c r="Z15" s="1251"/>
      <c r="AA15" s="1251"/>
    </row>
    <row r="16" spans="1:27" ht="15">
      <c r="A16" s="14"/>
      <c r="B16" s="38"/>
      <c r="C16" s="38"/>
      <c r="D16" s="4" t="s">
        <v>26</v>
      </c>
      <c r="E16" s="1259"/>
      <c r="F16" s="1259"/>
      <c r="G16" s="13" t="s">
        <v>35</v>
      </c>
      <c r="H16" s="1014">
        <v>637957</v>
      </c>
      <c r="I16" s="1015">
        <v>689561</v>
      </c>
      <c r="J16" s="1015">
        <v>791978</v>
      </c>
      <c r="K16" s="1016">
        <v>827439</v>
      </c>
      <c r="L16" s="1016">
        <v>854851</v>
      </c>
      <c r="M16" s="1126">
        <v>842037</v>
      </c>
      <c r="N16" s="1015">
        <v>823139</v>
      </c>
      <c r="O16" s="1015">
        <v>777536</v>
      </c>
      <c r="P16" s="1015">
        <v>642059</v>
      </c>
      <c r="Q16" s="1016">
        <v>703347</v>
      </c>
      <c r="R16" s="1016">
        <v>592217</v>
      </c>
      <c r="S16" s="1017">
        <v>616076</v>
      </c>
      <c r="T16" s="1017">
        <f t="shared" si="1"/>
        <v>8798197</v>
      </c>
      <c r="U16" s="1017">
        <v>13065000</v>
      </c>
      <c r="V16" s="1249"/>
      <c r="W16" s="1255"/>
      <c r="X16" s="1252"/>
      <c r="Y16" s="1256"/>
      <c r="Z16" s="1252"/>
      <c r="AA16" s="1251"/>
    </row>
    <row r="17" spans="1:27" ht="15">
      <c r="A17" s="14"/>
      <c r="B17" s="38"/>
      <c r="C17" s="38"/>
      <c r="D17" s="4" t="s">
        <v>27</v>
      </c>
      <c r="E17" s="1259"/>
      <c r="F17" s="1259"/>
      <c r="G17" s="13" t="s">
        <v>35</v>
      </c>
      <c r="H17" s="1014">
        <v>3103548</v>
      </c>
      <c r="I17" s="1015">
        <v>3340512</v>
      </c>
      <c r="J17" s="1015">
        <v>3322554</v>
      </c>
      <c r="K17" s="1016">
        <v>3764595</v>
      </c>
      <c r="L17" s="1016">
        <v>4189810</v>
      </c>
      <c r="M17" s="1016">
        <v>3743392</v>
      </c>
      <c r="N17" s="1015">
        <v>3646025</v>
      </c>
      <c r="O17" s="1015">
        <v>3916957</v>
      </c>
      <c r="P17" s="1015">
        <v>3490309</v>
      </c>
      <c r="Q17" s="1016">
        <v>3590673</v>
      </c>
      <c r="R17" s="1016">
        <v>3490085</v>
      </c>
      <c r="S17" s="1017">
        <v>3169416</v>
      </c>
      <c r="T17" s="1017">
        <f t="shared" si="1"/>
        <v>42767876</v>
      </c>
      <c r="U17" s="1017">
        <v>61750000</v>
      </c>
      <c r="V17" s="1253"/>
      <c r="W17" s="1249"/>
      <c r="X17" s="1252"/>
      <c r="Y17" s="1256"/>
      <c r="Z17" s="1252"/>
      <c r="AA17" s="1252"/>
    </row>
    <row r="18" spans="1:27" ht="15">
      <c r="A18" s="14"/>
      <c r="B18" s="38"/>
      <c r="C18" s="38"/>
      <c r="D18" s="4" t="s">
        <v>28</v>
      </c>
      <c r="E18" s="1259"/>
      <c r="F18" s="1259"/>
      <c r="G18" s="13" t="s">
        <v>35</v>
      </c>
      <c r="H18" s="1014">
        <v>188258</v>
      </c>
      <c r="I18" s="1015">
        <v>142605</v>
      </c>
      <c r="J18" s="1015">
        <v>140469</v>
      </c>
      <c r="K18" s="1016">
        <v>112609</v>
      </c>
      <c r="L18" s="1016">
        <v>149156</v>
      </c>
      <c r="M18" s="1016">
        <v>147924</v>
      </c>
      <c r="N18" s="1015">
        <v>164745</v>
      </c>
      <c r="O18" s="1015">
        <v>205875</v>
      </c>
      <c r="P18" s="1015">
        <v>160470</v>
      </c>
      <c r="Q18" s="1016">
        <v>181476</v>
      </c>
      <c r="R18" s="1016">
        <v>184455</v>
      </c>
      <c r="S18" s="1017">
        <v>178938</v>
      </c>
      <c r="T18" s="1017">
        <f t="shared" si="1"/>
        <v>1956980</v>
      </c>
      <c r="U18" s="1017">
        <v>661000</v>
      </c>
      <c r="V18" s="1255"/>
      <c r="W18" s="1249"/>
      <c r="X18" s="1256"/>
      <c r="Y18" s="1256"/>
      <c r="Z18" s="1256"/>
      <c r="AA18" s="1252"/>
    </row>
    <row r="19" spans="1:27" ht="15">
      <c r="A19" s="14"/>
      <c r="B19" s="38"/>
      <c r="C19" s="38"/>
      <c r="D19" s="4" t="s">
        <v>29</v>
      </c>
      <c r="E19" s="1259"/>
      <c r="F19" s="1259"/>
      <c r="G19" s="13" t="s">
        <v>35</v>
      </c>
      <c r="H19" s="1014">
        <v>540078</v>
      </c>
      <c r="I19" s="1015">
        <v>472059</v>
      </c>
      <c r="J19" s="1015">
        <v>557300</v>
      </c>
      <c r="K19" s="1016">
        <v>568482</v>
      </c>
      <c r="L19" s="1016">
        <v>637932</v>
      </c>
      <c r="M19" s="1016">
        <v>601771</v>
      </c>
      <c r="N19" s="1015">
        <v>664154</v>
      </c>
      <c r="O19" s="1015">
        <v>623147</v>
      </c>
      <c r="P19" s="1015">
        <v>626530</v>
      </c>
      <c r="Q19" s="1016">
        <v>740792</v>
      </c>
      <c r="R19" s="1016">
        <v>631140</v>
      </c>
      <c r="S19" s="1017">
        <v>614900</v>
      </c>
      <c r="T19" s="1017">
        <f t="shared" si="1"/>
        <v>7278285</v>
      </c>
      <c r="U19" s="1017">
        <v>6501000</v>
      </c>
      <c r="V19" s="1253"/>
      <c r="W19" s="1253"/>
      <c r="X19" s="1251"/>
      <c r="Y19" s="1252"/>
      <c r="Z19" s="1251"/>
      <c r="AA19" s="1251"/>
    </row>
    <row r="20" spans="1:27" ht="15">
      <c r="A20" s="14"/>
      <c r="B20" s="38"/>
      <c r="C20" s="38"/>
      <c r="D20" s="4" t="s">
        <v>5</v>
      </c>
      <c r="E20" s="1259"/>
      <c r="F20" s="1259"/>
      <c r="G20" s="13" t="s">
        <v>35</v>
      </c>
      <c r="H20" s="1014">
        <v>25453679</v>
      </c>
      <c r="I20" s="1015">
        <v>24943288</v>
      </c>
      <c r="J20" s="1015">
        <v>24599244</v>
      </c>
      <c r="K20" s="1016">
        <v>24996820</v>
      </c>
      <c r="L20" s="1016">
        <v>25927610</v>
      </c>
      <c r="M20" s="1016">
        <v>25253025</v>
      </c>
      <c r="N20" s="1015">
        <v>24916460</v>
      </c>
      <c r="O20" s="1015">
        <v>25122270</v>
      </c>
      <c r="P20" s="1015">
        <v>24440120</v>
      </c>
      <c r="Q20" s="1016">
        <v>25196153</v>
      </c>
      <c r="R20" s="1016">
        <v>22646183</v>
      </c>
      <c r="S20" s="1017">
        <v>22473718</v>
      </c>
      <c r="T20" s="1017">
        <f t="shared" si="1"/>
        <v>295968570</v>
      </c>
      <c r="U20" s="1017">
        <v>354359000</v>
      </c>
      <c r="V20" s="1249"/>
      <c r="W20" s="1249"/>
      <c r="X20" s="1251"/>
      <c r="Y20" s="1251"/>
      <c r="Z20" s="1251"/>
      <c r="AA20" s="1251"/>
    </row>
    <row r="21" spans="1:27" ht="15">
      <c r="A21" s="14"/>
      <c r="B21" s="38"/>
      <c r="C21" s="38"/>
      <c r="D21" s="4" t="s">
        <v>6</v>
      </c>
      <c r="E21" s="1259"/>
      <c r="F21" s="1259"/>
      <c r="G21" s="13" t="s">
        <v>35</v>
      </c>
      <c r="H21" s="1014">
        <v>148446</v>
      </c>
      <c r="I21" s="1015">
        <v>111267</v>
      </c>
      <c r="J21" s="1015">
        <v>102708</v>
      </c>
      <c r="K21" s="1016">
        <v>124416</v>
      </c>
      <c r="L21" s="1016">
        <v>207684</v>
      </c>
      <c r="M21" s="1016">
        <v>150426</v>
      </c>
      <c r="N21" s="1015">
        <v>150426</v>
      </c>
      <c r="O21" s="1015">
        <v>145557</v>
      </c>
      <c r="P21" s="1015">
        <v>116334</v>
      </c>
      <c r="Q21" s="1016">
        <v>112770</v>
      </c>
      <c r="R21" s="1016">
        <v>136998</v>
      </c>
      <c r="S21" s="1017">
        <v>141867</v>
      </c>
      <c r="T21" s="1017">
        <f t="shared" si="1"/>
        <v>1648899</v>
      </c>
      <c r="U21" s="1017">
        <v>11727000</v>
      </c>
      <c r="V21" s="1250"/>
      <c r="W21" s="1250"/>
      <c r="X21" s="1254"/>
      <c r="Y21" s="1254"/>
      <c r="Z21" s="1254"/>
      <c r="AA21" s="1254"/>
    </row>
    <row r="22" spans="1:27" ht="15">
      <c r="A22" s="14"/>
      <c r="B22" s="38"/>
      <c r="C22" s="38"/>
      <c r="D22" s="4" t="s">
        <v>7</v>
      </c>
      <c r="E22" s="1259"/>
      <c r="F22" s="1259"/>
      <c r="G22" s="13" t="s">
        <v>35</v>
      </c>
      <c r="H22" s="1014">
        <v>7023314</v>
      </c>
      <c r="I22" s="1015">
        <v>6385444</v>
      </c>
      <c r="J22" s="1015">
        <v>6169883</v>
      </c>
      <c r="K22" s="1016">
        <v>6436682</v>
      </c>
      <c r="L22" s="1016">
        <v>7130730</v>
      </c>
      <c r="M22" s="1016">
        <v>6918335</v>
      </c>
      <c r="N22" s="1015">
        <v>6825332</v>
      </c>
      <c r="O22" s="1015">
        <v>7005932</v>
      </c>
      <c r="P22" s="1015">
        <v>6718606</v>
      </c>
      <c r="Q22" s="1016">
        <v>6694151</v>
      </c>
      <c r="R22" s="1016">
        <v>5954940</v>
      </c>
      <c r="S22" s="1017">
        <v>6532115</v>
      </c>
      <c r="T22" s="1017">
        <f t="shared" si="1"/>
        <v>79795464</v>
      </c>
      <c r="U22" s="1017">
        <v>95846000</v>
      </c>
      <c r="V22" s="1255"/>
      <c r="W22" s="1255"/>
      <c r="X22" s="1256"/>
      <c r="Y22" s="1256"/>
      <c r="Z22" s="1256"/>
      <c r="AA22" s="1256"/>
    </row>
    <row r="23" spans="1:27" ht="15">
      <c r="A23" s="14"/>
      <c r="B23" s="38"/>
      <c r="C23" s="38"/>
      <c r="D23" s="4" t="s">
        <v>11</v>
      </c>
      <c r="E23" s="1259"/>
      <c r="F23" s="1259"/>
      <c r="G23" s="13" t="s">
        <v>35</v>
      </c>
      <c r="H23" s="1014">
        <v>6481688</v>
      </c>
      <c r="I23" s="1015">
        <v>6324361</v>
      </c>
      <c r="J23" s="1015">
        <v>8229958</v>
      </c>
      <c r="K23" s="1016">
        <v>7694203</v>
      </c>
      <c r="L23" s="1016">
        <v>8574931</v>
      </c>
      <c r="M23" s="1016">
        <v>8571707</v>
      </c>
      <c r="N23" s="1015">
        <v>7581233</v>
      </c>
      <c r="O23" s="1015">
        <v>7164900</v>
      </c>
      <c r="P23" s="1015">
        <v>6699049</v>
      </c>
      <c r="Q23" s="1016">
        <v>7548266</v>
      </c>
      <c r="R23" s="1016">
        <v>7340010</v>
      </c>
      <c r="S23" s="1017">
        <v>6822791</v>
      </c>
      <c r="T23" s="1017">
        <f t="shared" si="1"/>
        <v>89033097</v>
      </c>
      <c r="U23" s="1017">
        <v>159211000</v>
      </c>
      <c r="V23" s="1249"/>
      <c r="W23" s="1249"/>
      <c r="X23" s="1252"/>
      <c r="Y23" s="1252"/>
      <c r="Z23" s="1256"/>
      <c r="AA23" s="1252"/>
    </row>
    <row r="24" spans="1:27" ht="15">
      <c r="A24" s="14"/>
      <c r="B24" s="38"/>
      <c r="C24" s="38"/>
      <c r="D24" s="4" t="s">
        <v>128</v>
      </c>
      <c r="E24" s="1259"/>
      <c r="F24" s="1259"/>
      <c r="G24" s="13" t="s">
        <v>35</v>
      </c>
      <c r="H24" s="1014">
        <v>604809</v>
      </c>
      <c r="I24" s="1015">
        <v>426834</v>
      </c>
      <c r="J24" s="1015">
        <v>288378</v>
      </c>
      <c r="K24" s="1016">
        <v>245664</v>
      </c>
      <c r="L24" s="1016">
        <v>305667</v>
      </c>
      <c r="M24" s="1016">
        <v>449406</v>
      </c>
      <c r="N24" s="1015">
        <v>741816</v>
      </c>
      <c r="O24" s="1015">
        <v>877185</v>
      </c>
      <c r="P24" s="1015">
        <v>544122</v>
      </c>
      <c r="Q24" s="1016">
        <v>341550</v>
      </c>
      <c r="R24" s="1016">
        <v>677268</v>
      </c>
      <c r="S24" s="1017">
        <v>459162</v>
      </c>
      <c r="T24" s="1017">
        <f t="shared" si="1"/>
        <v>5961861</v>
      </c>
      <c r="U24" s="1017">
        <v>17820000</v>
      </c>
      <c r="V24" s="1255"/>
      <c r="W24" s="1255"/>
      <c r="X24" s="1256"/>
      <c r="Y24" s="1251"/>
      <c r="Z24" s="1256"/>
      <c r="AA24" s="1256"/>
    </row>
    <row r="25" spans="1:27" ht="15">
      <c r="A25" s="14"/>
      <c r="B25" s="38"/>
      <c r="C25" s="38"/>
      <c r="D25" s="4" t="s">
        <v>14</v>
      </c>
      <c r="E25" s="1259"/>
      <c r="F25" s="1259"/>
      <c r="G25" s="13" t="s">
        <v>35</v>
      </c>
      <c r="H25" s="1014">
        <v>3802749</v>
      </c>
      <c r="I25" s="1015">
        <v>3897819</v>
      </c>
      <c r="J25" s="1015">
        <v>4150236</v>
      </c>
      <c r="K25" s="1016">
        <v>3885290</v>
      </c>
      <c r="L25" s="1016">
        <v>4362244</v>
      </c>
      <c r="M25" s="1016">
        <v>4274069</v>
      </c>
      <c r="N25" s="1015">
        <v>4053976</v>
      </c>
      <c r="O25" s="1015">
        <v>4249724</v>
      </c>
      <c r="P25" s="1015">
        <v>4184976</v>
      </c>
      <c r="Q25" s="1016">
        <v>4268120</v>
      </c>
      <c r="R25" s="1016">
        <v>4286366</v>
      </c>
      <c r="S25" s="1017">
        <v>4129213</v>
      </c>
      <c r="T25" s="1017">
        <f t="shared" si="1"/>
        <v>49544782</v>
      </c>
      <c r="U25" s="1017">
        <v>51148000</v>
      </c>
      <c r="V25" s="1249"/>
      <c r="W25" s="1249"/>
      <c r="X25" s="1256"/>
      <c r="Y25" s="1256"/>
      <c r="Z25" s="1256"/>
      <c r="AA25" s="1256"/>
    </row>
    <row r="26" spans="1:27" ht="15">
      <c r="A26" s="14"/>
      <c r="B26" s="38"/>
      <c r="C26" s="38"/>
      <c r="D26" s="4" t="s">
        <v>33</v>
      </c>
      <c r="E26" s="1259"/>
      <c r="F26" s="1259"/>
      <c r="G26" s="13" t="s">
        <v>35</v>
      </c>
      <c r="H26" s="1014">
        <v>53208</v>
      </c>
      <c r="I26" s="1015">
        <v>85248</v>
      </c>
      <c r="J26" s="1016">
        <v>73224</v>
      </c>
      <c r="K26" s="1016">
        <v>107275</v>
      </c>
      <c r="L26" s="1016">
        <v>19800</v>
      </c>
      <c r="M26" s="1015">
        <v>91773</v>
      </c>
      <c r="N26" s="1015">
        <v>172440</v>
      </c>
      <c r="O26" s="1015">
        <v>92520</v>
      </c>
      <c r="P26" s="1015">
        <v>157050</v>
      </c>
      <c r="Q26" s="1016">
        <v>86570</v>
      </c>
      <c r="R26" s="1016">
        <v>66217</v>
      </c>
      <c r="S26" s="1017">
        <v>179200</v>
      </c>
      <c r="T26" s="1017">
        <f t="shared" si="1"/>
        <v>1184525</v>
      </c>
      <c r="U26" s="1017">
        <v>1536000</v>
      </c>
      <c r="V26" s="1249"/>
      <c r="W26" s="1249"/>
      <c r="X26" s="1251"/>
      <c r="Y26" s="1251"/>
      <c r="Z26" s="1251"/>
      <c r="AA26" s="1251"/>
    </row>
    <row r="27" spans="1:27" ht="15">
      <c r="A27" s="14"/>
      <c r="B27" s="38"/>
      <c r="C27" s="38"/>
      <c r="D27" s="4" t="s">
        <v>34</v>
      </c>
      <c r="E27" s="1259"/>
      <c r="F27" s="1259"/>
      <c r="G27" s="13" t="s">
        <v>35</v>
      </c>
      <c r="H27" s="1014">
        <v>0</v>
      </c>
      <c r="I27" s="1015">
        <v>0</v>
      </c>
      <c r="J27" s="1016">
        <v>241380</v>
      </c>
      <c r="K27" s="1016">
        <v>0</v>
      </c>
      <c r="L27" s="1016">
        <v>67500</v>
      </c>
      <c r="M27" s="1015">
        <v>0</v>
      </c>
      <c r="N27" s="1015">
        <v>221503</v>
      </c>
      <c r="O27" s="1015">
        <v>180000</v>
      </c>
      <c r="P27" s="1015">
        <v>0</v>
      </c>
      <c r="Q27" s="1016">
        <v>0</v>
      </c>
      <c r="R27" s="1016">
        <v>180000</v>
      </c>
      <c r="S27" s="1017">
        <v>0</v>
      </c>
      <c r="T27" s="1017">
        <f t="shared" si="1"/>
        <v>890383</v>
      </c>
      <c r="U27" s="1017">
        <v>4259000</v>
      </c>
      <c r="V27" s="1253"/>
      <c r="W27" s="1253"/>
      <c r="X27" s="1251"/>
      <c r="Y27" s="1252"/>
      <c r="Z27" s="1251"/>
      <c r="AA27" s="1251"/>
    </row>
    <row r="28" spans="1:27" ht="15">
      <c r="A28" s="14"/>
      <c r="B28" s="38"/>
      <c r="C28" s="38"/>
      <c r="D28" s="4" t="s">
        <v>3</v>
      </c>
      <c r="E28" s="1259"/>
      <c r="F28" s="1259"/>
      <c r="G28" s="13" t="s">
        <v>35</v>
      </c>
      <c r="H28" s="1267">
        <v>267678</v>
      </c>
      <c r="I28" s="1016">
        <v>259200</v>
      </c>
      <c r="J28" s="1016">
        <v>267678</v>
      </c>
      <c r="K28" s="1016">
        <v>259200</v>
      </c>
      <c r="L28" s="1016">
        <v>267678</v>
      </c>
      <c r="M28" s="1016">
        <v>88506</v>
      </c>
      <c r="N28" s="1016">
        <v>0</v>
      </c>
      <c r="O28" s="1016">
        <v>0</v>
      </c>
      <c r="P28" s="1016">
        <v>0</v>
      </c>
      <c r="Q28" s="1016">
        <v>0</v>
      </c>
      <c r="R28" s="1016">
        <v>0</v>
      </c>
      <c r="S28" s="1017">
        <v>0</v>
      </c>
      <c r="T28" s="1017">
        <f t="shared" si="1"/>
        <v>1409940</v>
      </c>
      <c r="U28" s="1017">
        <v>0</v>
      </c>
      <c r="V28" s="1250"/>
      <c r="W28" s="1250"/>
      <c r="X28" s="1254"/>
      <c r="Y28" s="1254"/>
      <c r="Z28" s="1254"/>
      <c r="AA28" s="1254"/>
    </row>
    <row r="29" spans="1:27" ht="15">
      <c r="A29" s="14"/>
      <c r="B29" s="38"/>
      <c r="C29" s="38"/>
      <c r="D29" s="4" t="s">
        <v>4</v>
      </c>
      <c r="E29" s="1259"/>
      <c r="F29" s="1259"/>
      <c r="G29" s="13" t="s">
        <v>35</v>
      </c>
      <c r="H29" s="1267">
        <v>0</v>
      </c>
      <c r="I29" s="1016">
        <v>0</v>
      </c>
      <c r="J29" s="1016">
        <v>0</v>
      </c>
      <c r="K29" s="1016">
        <v>0</v>
      </c>
      <c r="L29" s="1016">
        <v>0</v>
      </c>
      <c r="M29" s="1016">
        <v>0</v>
      </c>
      <c r="N29" s="1016">
        <v>0</v>
      </c>
      <c r="O29" s="1016">
        <v>0</v>
      </c>
      <c r="P29" s="1016">
        <v>0</v>
      </c>
      <c r="Q29" s="1016">
        <v>0</v>
      </c>
      <c r="R29" s="1016">
        <v>0</v>
      </c>
      <c r="S29" s="1017">
        <v>0</v>
      </c>
      <c r="T29" s="1017">
        <f t="shared" si="1"/>
        <v>0</v>
      </c>
      <c r="U29" s="1017">
        <v>0</v>
      </c>
      <c r="V29" s="1250"/>
      <c r="W29" s="1250"/>
      <c r="X29" s="1254"/>
      <c r="Y29" s="1254"/>
      <c r="Z29" s="1254"/>
      <c r="AA29" s="1254"/>
    </row>
    <row r="30" spans="1:27" ht="15">
      <c r="A30" s="14"/>
      <c r="B30" s="38"/>
      <c r="C30" s="38"/>
      <c r="D30" s="4" t="s">
        <v>8</v>
      </c>
      <c r="E30" s="1259"/>
      <c r="F30" s="1259"/>
      <c r="G30" s="13" t="s">
        <v>35</v>
      </c>
      <c r="H30" s="1014">
        <v>1629643</v>
      </c>
      <c r="I30" s="1015">
        <v>1336167</v>
      </c>
      <c r="J30" s="1015">
        <v>1441710</v>
      </c>
      <c r="K30" s="1016">
        <v>1553564</v>
      </c>
      <c r="L30" s="1016">
        <v>1550961</v>
      </c>
      <c r="M30" s="1016">
        <v>1556424</v>
      </c>
      <c r="N30" s="1015">
        <v>1313334</v>
      </c>
      <c r="O30" s="1015">
        <v>1397323</v>
      </c>
      <c r="P30" s="1015">
        <v>1111923</v>
      </c>
      <c r="Q30" s="1016">
        <v>944946</v>
      </c>
      <c r="R30" s="1016">
        <v>59661</v>
      </c>
      <c r="S30" s="1017">
        <v>72720</v>
      </c>
      <c r="T30" s="1017">
        <f t="shared" si="1"/>
        <v>13968376</v>
      </c>
      <c r="U30" s="1017">
        <v>52160000</v>
      </c>
      <c r="V30" s="1249"/>
      <c r="W30" s="1253"/>
      <c r="X30" s="1251"/>
      <c r="Y30" s="1251"/>
      <c r="Z30" s="1251"/>
      <c r="AA30" s="1251"/>
    </row>
    <row r="31" spans="1:27" ht="15">
      <c r="A31" s="14"/>
      <c r="B31" s="38"/>
      <c r="C31" s="38"/>
      <c r="D31" s="4" t="s">
        <v>9</v>
      </c>
      <c r="E31" s="1259"/>
      <c r="F31" s="1259"/>
      <c r="G31" s="13" t="s">
        <v>35</v>
      </c>
      <c r="H31" s="1267">
        <v>0</v>
      </c>
      <c r="I31" s="1016">
        <v>0</v>
      </c>
      <c r="J31" s="1016">
        <v>0</v>
      </c>
      <c r="K31" s="1016">
        <v>0</v>
      </c>
      <c r="L31" s="1016">
        <v>0</v>
      </c>
      <c r="M31" s="1016">
        <v>0</v>
      </c>
      <c r="N31" s="1016">
        <v>0</v>
      </c>
      <c r="O31" s="1016">
        <v>0</v>
      </c>
      <c r="P31" s="1016">
        <v>0</v>
      </c>
      <c r="Q31" s="1016">
        <v>0</v>
      </c>
      <c r="R31" s="1016">
        <v>0</v>
      </c>
      <c r="S31" s="1017">
        <v>0</v>
      </c>
      <c r="T31" s="1017">
        <f t="shared" si="1"/>
        <v>0</v>
      </c>
      <c r="U31" s="1017">
        <v>46470000</v>
      </c>
      <c r="V31" s="1250"/>
      <c r="W31" s="1250"/>
      <c r="X31" s="1254"/>
      <c r="Y31" s="1254"/>
      <c r="Z31" s="1254"/>
      <c r="AA31" s="1254"/>
    </row>
    <row r="32" spans="1:27" ht="15">
      <c r="A32" s="14"/>
      <c r="B32" s="38"/>
      <c r="C32" s="38"/>
      <c r="D32" s="4" t="s">
        <v>10</v>
      </c>
      <c r="E32" s="1259"/>
      <c r="F32" s="1259"/>
      <c r="G32" s="13" t="s">
        <v>35</v>
      </c>
      <c r="H32" s="1267">
        <v>0</v>
      </c>
      <c r="I32" s="1016">
        <v>0</v>
      </c>
      <c r="J32" s="1016">
        <v>0</v>
      </c>
      <c r="K32" s="1016">
        <v>0</v>
      </c>
      <c r="L32" s="1016">
        <v>0</v>
      </c>
      <c r="M32" s="1016">
        <v>0</v>
      </c>
      <c r="N32" s="1016">
        <v>0</v>
      </c>
      <c r="O32" s="1016">
        <v>0</v>
      </c>
      <c r="P32" s="1016">
        <v>0</v>
      </c>
      <c r="Q32" s="1016">
        <v>0</v>
      </c>
      <c r="R32" s="1016">
        <v>0</v>
      </c>
      <c r="S32" s="1017">
        <v>0</v>
      </c>
      <c r="T32" s="1017">
        <f t="shared" si="1"/>
        <v>0</v>
      </c>
      <c r="U32" s="1017">
        <v>0</v>
      </c>
      <c r="V32" s="1250"/>
      <c r="W32" s="1250"/>
      <c r="X32" s="1254"/>
      <c r="Y32" s="1254"/>
      <c r="Z32" s="1254"/>
      <c r="AA32" s="1254"/>
    </row>
    <row r="33" spans="1:27" ht="15.75" thickBot="1">
      <c r="A33" s="40"/>
      <c r="B33" s="41"/>
      <c r="C33" s="41"/>
      <c r="D33" s="34" t="s">
        <v>15</v>
      </c>
      <c r="E33" s="43"/>
      <c r="F33" s="43"/>
      <c r="G33" s="44" t="s">
        <v>35</v>
      </c>
      <c r="H33" s="1084">
        <v>9290701</v>
      </c>
      <c r="I33" s="1085">
        <v>8899561</v>
      </c>
      <c r="J33" s="1085">
        <v>9257781</v>
      </c>
      <c r="K33" s="1086">
        <v>9286659</v>
      </c>
      <c r="L33" s="1086">
        <v>9435481</v>
      </c>
      <c r="M33" s="1086">
        <v>9320460</v>
      </c>
      <c r="N33" s="1085">
        <v>9135370</v>
      </c>
      <c r="O33" s="1085">
        <v>9369750</v>
      </c>
      <c r="P33" s="1085">
        <v>9224491</v>
      </c>
      <c r="Q33" s="1086">
        <v>9249391</v>
      </c>
      <c r="R33" s="1086">
        <v>9099781</v>
      </c>
      <c r="S33" s="1087">
        <v>8972861</v>
      </c>
      <c r="T33" s="1087">
        <f t="shared" si="1"/>
        <v>110542287</v>
      </c>
      <c r="U33" s="1087">
        <v>131351000</v>
      </c>
      <c r="V33" s="1249"/>
      <c r="W33" s="1249"/>
      <c r="X33" s="1252"/>
      <c r="Y33" s="1252"/>
      <c r="Z33" s="1252"/>
      <c r="AA33" s="1252"/>
    </row>
    <row r="34" spans="1:27" ht="15.75" thickBot="1">
      <c r="A34" s="1138"/>
      <c r="B34" s="1139"/>
      <c r="C34" s="1139"/>
      <c r="D34" s="1139"/>
      <c r="E34" s="1139"/>
      <c r="F34" s="1139"/>
      <c r="G34" s="1139" t="s">
        <v>92</v>
      </c>
      <c r="H34" s="1141">
        <f>H4+H10+H14</f>
        <v>160292276</v>
      </c>
      <c r="I34" s="1141">
        <f t="shared" ref="I34:U34" si="4">I4+I10+I14</f>
        <v>154322049</v>
      </c>
      <c r="J34" s="1141">
        <f t="shared" si="4"/>
        <v>159994784</v>
      </c>
      <c r="K34" s="1141">
        <f t="shared" si="4"/>
        <v>156960080</v>
      </c>
      <c r="L34" s="1141">
        <f t="shared" si="4"/>
        <v>164022197</v>
      </c>
      <c r="M34" s="1141">
        <f t="shared" si="4"/>
        <v>159518050</v>
      </c>
      <c r="N34" s="1141">
        <f t="shared" si="4"/>
        <v>157391936</v>
      </c>
      <c r="O34" s="1141">
        <f t="shared" si="4"/>
        <v>163501379</v>
      </c>
      <c r="P34" s="1258">
        <f t="shared" si="4"/>
        <v>156683109</v>
      </c>
      <c r="Q34" s="1258">
        <f t="shared" si="4"/>
        <v>161769861</v>
      </c>
      <c r="R34" s="1258">
        <f t="shared" si="4"/>
        <v>159259484</v>
      </c>
      <c r="S34" s="1258">
        <f t="shared" si="4"/>
        <v>149654694</v>
      </c>
      <c r="T34" s="1141">
        <f t="shared" si="4"/>
        <v>1903369899</v>
      </c>
      <c r="U34" s="1141">
        <f t="shared" si="4"/>
        <v>2162910000</v>
      </c>
      <c r="V34" s="1005"/>
      <c r="W34" s="1005"/>
      <c r="X34" s="1005"/>
      <c r="Y34" s="1005"/>
      <c r="Z34" s="1005"/>
      <c r="AA34" s="1005"/>
    </row>
    <row r="35" spans="1:27" ht="16.5" customHeight="1">
      <c r="A35" s="10"/>
      <c r="B35" s="11"/>
      <c r="C35" s="11"/>
      <c r="D35" s="11"/>
      <c r="E35" s="11"/>
      <c r="F35" s="11"/>
      <c r="G35" s="11"/>
      <c r="H35" s="1292" t="s">
        <v>70</v>
      </c>
      <c r="I35" s="1293"/>
      <c r="S35" s="1142"/>
      <c r="T35" s="1143"/>
      <c r="U35" s="1235"/>
      <c r="V35" s="1237"/>
      <c r="W35" s="1237"/>
      <c r="X35" s="1237"/>
      <c r="Y35" s="1237"/>
      <c r="Z35" s="1237"/>
      <c r="AA35" s="1237"/>
    </row>
    <row r="36" spans="1:27" ht="17.25" customHeight="1" thickBot="1">
      <c r="A36" s="19"/>
      <c r="B36" s="20"/>
      <c r="C36" s="20"/>
      <c r="D36" s="20"/>
      <c r="E36" s="20"/>
      <c r="F36" s="20"/>
      <c r="G36" s="20"/>
      <c r="H36" s="1314" t="s">
        <v>185</v>
      </c>
      <c r="I36" s="1315"/>
      <c r="J36" s="1005"/>
      <c r="K36" s="1005"/>
      <c r="L36" s="1005"/>
      <c r="M36" s="1005"/>
      <c r="N36" s="1237"/>
      <c r="O36" s="1237"/>
      <c r="P36" s="1237"/>
      <c r="Q36" s="1237"/>
      <c r="R36" s="1237"/>
      <c r="S36" s="1154"/>
      <c r="T36" s="1236"/>
      <c r="V36" s="94"/>
      <c r="W36" s="94"/>
      <c r="X36" s="92"/>
      <c r="Y36" s="94"/>
      <c r="Z36" s="94"/>
      <c r="AA36" s="94"/>
    </row>
    <row r="37" spans="1:27" ht="18" customHeight="1" thickTop="1">
      <c r="A37" s="39" t="s">
        <v>20</v>
      </c>
      <c r="B37" s="36"/>
      <c r="C37" s="36"/>
      <c r="D37" s="53" t="s">
        <v>16</v>
      </c>
      <c r="E37" s="54"/>
      <c r="F37" s="54"/>
      <c r="G37" s="55" t="s">
        <v>41</v>
      </c>
      <c r="H37" s="1328">
        <f t="shared" ref="H37:H44" si="5">T4/U4*100</f>
        <v>107.66390337618621</v>
      </c>
      <c r="I37" s="1329"/>
      <c r="J37" s="93"/>
      <c r="K37" s="93"/>
      <c r="L37" s="93"/>
      <c r="M37" s="93"/>
      <c r="N37" s="93"/>
      <c r="O37" s="1237"/>
      <c r="P37" s="1237"/>
      <c r="Q37" s="1237"/>
      <c r="R37" s="1237"/>
      <c r="S37" s="1237"/>
      <c r="T37" s="1237"/>
      <c r="U37" s="1237"/>
      <c r="V37" s="1255"/>
      <c r="W37" s="1255"/>
      <c r="X37" s="1252"/>
      <c r="Y37" s="1252"/>
      <c r="Z37" s="1252"/>
      <c r="AA37" s="1252"/>
    </row>
    <row r="38" spans="1:27" ht="15">
      <c r="A38" s="14"/>
      <c r="B38" s="38"/>
      <c r="C38" s="38"/>
      <c r="D38" s="4" t="s">
        <v>21</v>
      </c>
      <c r="E38" s="47"/>
      <c r="F38" s="47"/>
      <c r="G38" s="48" t="s">
        <v>35</v>
      </c>
      <c r="H38" s="1308">
        <f t="shared" si="5"/>
        <v>101.75758651988147</v>
      </c>
      <c r="I38" s="1309"/>
      <c r="J38" s="1255"/>
      <c r="K38" s="1252"/>
      <c r="L38" s="1252"/>
      <c r="M38" s="1252"/>
      <c r="N38" s="95"/>
      <c r="O38" s="95"/>
      <c r="P38" s="95"/>
      <c r="Q38" s="1244"/>
      <c r="R38" s="1244"/>
      <c r="S38" s="1244"/>
      <c r="T38" s="1244"/>
      <c r="U38" s="1244"/>
      <c r="V38" s="1255"/>
      <c r="W38" s="1255"/>
      <c r="X38" s="1251"/>
      <c r="Y38" s="1251"/>
      <c r="Z38" s="1251"/>
      <c r="AA38" s="1251"/>
    </row>
    <row r="39" spans="1:27" ht="15">
      <c r="A39" s="14"/>
      <c r="B39" s="38"/>
      <c r="C39" s="38"/>
      <c r="D39" s="4" t="s">
        <v>32</v>
      </c>
      <c r="E39" s="1239"/>
      <c r="F39" s="1239"/>
      <c r="G39" s="13" t="s">
        <v>35</v>
      </c>
      <c r="H39" s="1308">
        <f t="shared" si="5"/>
        <v>101.59919601636362</v>
      </c>
      <c r="I39" s="1309"/>
      <c r="J39" s="1255"/>
      <c r="K39" s="1251"/>
      <c r="L39" s="1251"/>
      <c r="M39" s="1251"/>
      <c r="N39" s="95"/>
      <c r="O39" s="95"/>
      <c r="P39" s="95"/>
      <c r="Q39" s="1244"/>
      <c r="R39" s="1244"/>
      <c r="S39" s="1244"/>
      <c r="T39" s="1244"/>
      <c r="U39" s="1244"/>
      <c r="V39" s="1255"/>
      <c r="W39" s="1249"/>
      <c r="X39" s="1256"/>
      <c r="Y39" s="1256"/>
      <c r="Z39" s="1256"/>
      <c r="AA39" s="1256"/>
    </row>
    <row r="40" spans="1:27" ht="15">
      <c r="A40" s="14"/>
      <c r="B40" s="38"/>
      <c r="C40" s="38"/>
      <c r="D40" s="4" t="s">
        <v>22</v>
      </c>
      <c r="E40" s="1239"/>
      <c r="F40" s="1239"/>
      <c r="G40" s="13" t="s">
        <v>35</v>
      </c>
      <c r="H40" s="1308">
        <f t="shared" si="5"/>
        <v>125.30247113557753</v>
      </c>
      <c r="I40" s="1309"/>
      <c r="J40" s="1255"/>
      <c r="K40" s="1252"/>
      <c r="L40" s="1252"/>
      <c r="M40" s="1252"/>
      <c r="N40" s="95"/>
      <c r="O40" s="95"/>
      <c r="P40" s="95"/>
      <c r="Q40" s="1244"/>
      <c r="R40" s="1244"/>
      <c r="S40" s="1244"/>
      <c r="T40" s="1244"/>
      <c r="U40" s="1244"/>
      <c r="V40" s="1255"/>
      <c r="W40" s="1255"/>
      <c r="X40" s="1256"/>
      <c r="Y40" s="1256"/>
      <c r="Z40" s="1256"/>
      <c r="AA40" s="1256"/>
    </row>
    <row r="41" spans="1:27" ht="15">
      <c r="A41" s="14"/>
      <c r="B41" s="38"/>
      <c r="C41" s="38"/>
      <c r="D41" s="4" t="s">
        <v>23</v>
      </c>
      <c r="E41" s="36"/>
      <c r="F41" s="36"/>
      <c r="G41" s="50" t="s">
        <v>35</v>
      </c>
      <c r="H41" s="1308">
        <f t="shared" si="5"/>
        <v>109.9695946336668</v>
      </c>
      <c r="I41" s="1309"/>
      <c r="J41" s="1255"/>
      <c r="K41" s="1256"/>
      <c r="L41" s="1256"/>
      <c r="M41" s="1256"/>
      <c r="N41" s="95"/>
      <c r="O41" s="95"/>
      <c r="P41" s="95"/>
      <c r="Q41" s="1244"/>
      <c r="R41" s="1244"/>
      <c r="S41" s="1244"/>
      <c r="T41" s="1244"/>
      <c r="U41" s="1244"/>
      <c r="V41" s="1249"/>
      <c r="W41" s="1255"/>
      <c r="X41" s="1256"/>
      <c r="Y41" s="1256"/>
      <c r="Z41" s="1256"/>
      <c r="AA41" s="1256"/>
    </row>
    <row r="42" spans="1:27" ht="15">
      <c r="A42" s="29"/>
      <c r="B42" s="8"/>
      <c r="C42" s="9"/>
      <c r="D42" s="1118" t="s">
        <v>189</v>
      </c>
      <c r="E42" s="36"/>
      <c r="F42" s="36"/>
      <c r="G42" s="50" t="s">
        <v>35</v>
      </c>
      <c r="H42" s="1308" t="e">
        <f t="shared" si="5"/>
        <v>#DIV/0!</v>
      </c>
      <c r="I42" s="1309"/>
      <c r="J42" s="1255"/>
      <c r="K42" s="1256"/>
      <c r="L42" s="1256"/>
      <c r="M42" s="1256"/>
      <c r="N42" s="95"/>
      <c r="O42" s="95"/>
      <c r="P42" s="95"/>
      <c r="Q42" s="1244"/>
      <c r="R42" s="1244"/>
      <c r="S42" s="1244"/>
      <c r="T42" s="1244"/>
      <c r="U42" s="1244"/>
    </row>
    <row r="43" spans="1:27" ht="15">
      <c r="A43" s="39" t="s">
        <v>2</v>
      </c>
      <c r="B43" s="36"/>
      <c r="C43" s="36"/>
      <c r="D43" s="53" t="s">
        <v>16</v>
      </c>
      <c r="E43" s="54"/>
      <c r="F43" s="54"/>
      <c r="G43" s="56" t="s">
        <v>35</v>
      </c>
      <c r="H43" s="1325">
        <f t="shared" si="5"/>
        <v>86.663686360960739</v>
      </c>
      <c r="I43" s="1326"/>
      <c r="J43" s="1255"/>
      <c r="K43" s="1256"/>
      <c r="L43" s="1256"/>
      <c r="M43" s="1256"/>
      <c r="N43" s="95"/>
      <c r="O43" s="95"/>
      <c r="P43" s="95"/>
      <c r="Q43" s="1244"/>
      <c r="R43" s="1244"/>
      <c r="S43" s="1244"/>
      <c r="T43" s="1244"/>
      <c r="U43" s="1244"/>
      <c r="V43" s="1249"/>
      <c r="W43" s="1253"/>
      <c r="X43" s="1252"/>
      <c r="Y43" s="1252"/>
      <c r="Z43" s="1252"/>
      <c r="AA43" s="1252"/>
    </row>
    <row r="44" spans="1:27" ht="15">
      <c r="A44" s="14"/>
      <c r="B44" s="38"/>
      <c r="C44" s="38"/>
      <c r="D44" s="4" t="s">
        <v>17</v>
      </c>
      <c r="E44" s="1239"/>
      <c r="F44" s="1239"/>
      <c r="G44" s="13" t="s">
        <v>35</v>
      </c>
      <c r="H44" s="1308">
        <f t="shared" si="5"/>
        <v>60.25815989107177</v>
      </c>
      <c r="I44" s="1309"/>
      <c r="J44" s="1249"/>
      <c r="K44" s="1252"/>
      <c r="L44" s="1252"/>
      <c r="M44" s="1251"/>
      <c r="N44" s="95"/>
      <c r="O44" s="95"/>
      <c r="P44" s="95"/>
      <c r="Q44" s="1244"/>
      <c r="R44" s="1244"/>
      <c r="S44" s="1244"/>
      <c r="T44" s="1244"/>
      <c r="U44" s="1244"/>
      <c r="V44" s="1255"/>
      <c r="W44" s="1253"/>
      <c r="X44" s="1251"/>
      <c r="Y44" s="1252"/>
      <c r="Z44" s="1251"/>
      <c r="AA44" s="1251"/>
    </row>
    <row r="45" spans="1:27" ht="15">
      <c r="A45" s="14"/>
      <c r="B45" s="38"/>
      <c r="C45" s="38"/>
      <c r="D45" s="4" t="s">
        <v>19</v>
      </c>
      <c r="E45" s="1239"/>
      <c r="F45" s="1239"/>
      <c r="G45" s="13" t="s">
        <v>35</v>
      </c>
      <c r="H45" s="1327" t="s">
        <v>77</v>
      </c>
      <c r="I45" s="1309"/>
      <c r="J45" s="1255"/>
      <c r="K45" s="1252"/>
      <c r="L45" s="1251"/>
      <c r="M45" s="1251"/>
      <c r="N45" s="95"/>
      <c r="O45" s="95"/>
      <c r="P45" s="95"/>
      <c r="Q45" s="1244"/>
      <c r="R45" s="1244"/>
      <c r="S45" s="1244"/>
      <c r="T45" s="1244"/>
      <c r="U45" s="1244"/>
      <c r="V45" s="1250"/>
      <c r="W45" s="1250"/>
      <c r="X45" s="1254"/>
      <c r="Y45" s="1254"/>
      <c r="Z45" s="1254"/>
      <c r="AA45" s="1254"/>
    </row>
    <row r="46" spans="1:27" ht="15">
      <c r="A46" s="1240"/>
      <c r="B46" s="1241"/>
      <c r="C46" s="1241"/>
      <c r="D46" s="4" t="s">
        <v>18</v>
      </c>
      <c r="E46" s="1239"/>
      <c r="F46" s="1239"/>
      <c r="G46" s="13" t="s">
        <v>35</v>
      </c>
      <c r="H46" s="1308">
        <f>T13/U13*100</f>
        <v>87.471049297910682</v>
      </c>
      <c r="I46" s="1309"/>
      <c r="J46" s="1250"/>
      <c r="K46" s="1254"/>
      <c r="L46" s="1254"/>
      <c r="M46" s="1254"/>
      <c r="N46" s="95"/>
      <c r="O46" s="95"/>
      <c r="P46" s="95"/>
      <c r="Q46" s="1244"/>
      <c r="R46" s="1244"/>
      <c r="S46" s="1244"/>
      <c r="T46" s="1244"/>
      <c r="U46" s="1244"/>
      <c r="V46" s="1249"/>
      <c r="W46" s="1253"/>
      <c r="X46" s="1252"/>
      <c r="Y46" s="1252"/>
      <c r="Z46" s="1252"/>
      <c r="AA46" s="1252"/>
    </row>
    <row r="47" spans="1:27" ht="15">
      <c r="A47" s="39" t="s">
        <v>1</v>
      </c>
      <c r="B47" s="36"/>
      <c r="C47" s="36"/>
      <c r="D47" s="53" t="s">
        <v>16</v>
      </c>
      <c r="E47" s="54"/>
      <c r="F47" s="54"/>
      <c r="G47" s="56" t="s">
        <v>35</v>
      </c>
      <c r="H47" s="1316">
        <f>T14/U14*100</f>
        <v>76.972036118678361</v>
      </c>
      <c r="I47" s="1317"/>
      <c r="J47" s="1249"/>
      <c r="K47" s="1252"/>
      <c r="L47" s="1252"/>
      <c r="M47" s="1252"/>
      <c r="N47" s="95"/>
      <c r="O47" s="95"/>
      <c r="P47" s="95"/>
      <c r="Q47" s="1244"/>
      <c r="R47" s="1244"/>
      <c r="S47" s="1244"/>
      <c r="T47" s="1244"/>
      <c r="U47" s="1244"/>
      <c r="V47" s="1253"/>
      <c r="W47" s="1249"/>
      <c r="X47" s="1252"/>
      <c r="Y47" s="1252"/>
      <c r="Z47" s="1252"/>
      <c r="AA47" s="1251"/>
    </row>
    <row r="48" spans="1:27" ht="15">
      <c r="A48" s="14"/>
      <c r="B48" s="38"/>
      <c r="C48" s="38"/>
      <c r="D48" s="4" t="s">
        <v>25</v>
      </c>
      <c r="E48" s="1239"/>
      <c r="F48" s="1239"/>
      <c r="G48" s="13" t="s">
        <v>35</v>
      </c>
      <c r="H48" s="1308">
        <f t="shared" ref="H48:H57" si="6">T15/U15*100</f>
        <v>102.04952408867223</v>
      </c>
      <c r="I48" s="1309"/>
      <c r="J48" s="1253"/>
      <c r="K48" s="1251"/>
      <c r="L48" s="1251"/>
      <c r="M48" s="1251"/>
      <c r="N48" s="95"/>
      <c r="O48" s="95"/>
      <c r="P48" s="95"/>
      <c r="Q48" s="1244"/>
      <c r="R48" s="1244"/>
      <c r="S48" s="1244"/>
      <c r="T48" s="1244"/>
      <c r="U48" s="1244"/>
      <c r="V48" s="1253"/>
      <c r="W48" s="1253"/>
      <c r="X48" s="1251"/>
      <c r="Y48" s="1252"/>
      <c r="Z48" s="1251"/>
      <c r="AA48" s="1251"/>
    </row>
    <row r="49" spans="1:27" ht="15">
      <c r="A49" s="14"/>
      <c r="B49" s="38"/>
      <c r="C49" s="38"/>
      <c r="D49" s="4" t="s">
        <v>26</v>
      </c>
      <c r="E49" s="1239"/>
      <c r="F49" s="1239"/>
      <c r="G49" s="13" t="s">
        <v>35</v>
      </c>
      <c r="H49" s="1308">
        <f t="shared" si="6"/>
        <v>67.341729812476075</v>
      </c>
      <c r="I49" s="1309"/>
      <c r="J49" s="1255"/>
      <c r="K49" s="1256"/>
      <c r="L49" s="1256"/>
      <c r="M49" s="1252"/>
      <c r="N49" s="95"/>
      <c r="O49" s="95"/>
      <c r="P49" s="95"/>
      <c r="Q49" s="1244"/>
      <c r="R49" s="1244"/>
      <c r="S49" s="1244"/>
      <c r="T49" s="1244"/>
      <c r="U49" s="1244"/>
      <c r="V49" s="1249"/>
      <c r="W49" s="1255"/>
      <c r="X49" s="1252"/>
      <c r="Y49" s="1256"/>
      <c r="Z49" s="1252"/>
      <c r="AA49" s="1251"/>
    </row>
    <row r="50" spans="1:27" ht="15">
      <c r="A50" s="14"/>
      <c r="B50" s="38"/>
      <c r="C50" s="38"/>
      <c r="D50" s="4" t="s">
        <v>27</v>
      </c>
      <c r="E50" s="1239"/>
      <c r="F50" s="1239"/>
      <c r="G50" s="13" t="s">
        <v>35</v>
      </c>
      <c r="H50" s="1308">
        <f t="shared" si="6"/>
        <v>69.259718218623476</v>
      </c>
      <c r="I50" s="1309"/>
      <c r="J50" s="1249"/>
      <c r="K50" s="1252"/>
      <c r="L50" s="1251"/>
      <c r="M50" s="1251"/>
      <c r="N50" s="95"/>
      <c r="O50" s="95"/>
      <c r="P50" s="95"/>
      <c r="Q50" s="1244"/>
      <c r="R50" s="1244"/>
      <c r="S50" s="1244"/>
      <c r="T50" s="1244"/>
      <c r="U50" s="1244"/>
      <c r="V50" s="1253"/>
      <c r="W50" s="1249"/>
      <c r="X50" s="1252"/>
      <c r="Y50" s="1256"/>
      <c r="Z50" s="1252"/>
      <c r="AA50" s="1252"/>
    </row>
    <row r="51" spans="1:27" ht="15">
      <c r="A51" s="14"/>
      <c r="B51" s="38"/>
      <c r="C51" s="38"/>
      <c r="D51" s="4" t="s">
        <v>28</v>
      </c>
      <c r="E51" s="1239"/>
      <c r="F51" s="1239"/>
      <c r="G51" s="13" t="s">
        <v>35</v>
      </c>
      <c r="H51" s="1308">
        <f t="shared" si="6"/>
        <v>296.06354009077154</v>
      </c>
      <c r="I51" s="1309"/>
      <c r="J51" s="1255"/>
      <c r="K51" s="1251"/>
      <c r="L51" s="1251"/>
      <c r="M51" s="1251"/>
      <c r="N51" s="95"/>
      <c r="O51" s="95"/>
      <c r="P51" s="95"/>
      <c r="Q51" s="1244"/>
      <c r="R51" s="1244"/>
      <c r="S51" s="1244"/>
      <c r="T51" s="1244"/>
      <c r="U51" s="1244"/>
      <c r="V51" s="1255"/>
      <c r="W51" s="1249"/>
      <c r="X51" s="1256"/>
      <c r="Y51" s="1256"/>
      <c r="Z51" s="1256"/>
      <c r="AA51" s="1252"/>
    </row>
    <row r="52" spans="1:27" ht="15">
      <c r="A52" s="14"/>
      <c r="B52" s="38"/>
      <c r="C52" s="38"/>
      <c r="D52" s="4" t="s">
        <v>29</v>
      </c>
      <c r="E52" s="1239"/>
      <c r="F52" s="1239"/>
      <c r="G52" s="13" t="s">
        <v>35</v>
      </c>
      <c r="H52" s="1308">
        <f t="shared" si="6"/>
        <v>111.95639132441161</v>
      </c>
      <c r="I52" s="1309"/>
      <c r="J52" s="1249"/>
      <c r="K52" s="1251"/>
      <c r="L52" s="1251"/>
      <c r="M52" s="1251"/>
      <c r="N52" s="95"/>
      <c r="O52" s="95"/>
      <c r="P52" s="95"/>
      <c r="Q52" s="1244"/>
      <c r="R52" s="1244"/>
      <c r="S52" s="1244"/>
      <c r="T52" s="1244"/>
      <c r="U52" s="1244"/>
      <c r="V52" s="1253"/>
      <c r="W52" s="1253"/>
      <c r="X52" s="1251"/>
      <c r="Y52" s="1252"/>
      <c r="Z52" s="1251"/>
      <c r="AA52" s="1251"/>
    </row>
    <row r="53" spans="1:27" ht="15">
      <c r="A53" s="14"/>
      <c r="B53" s="38"/>
      <c r="C53" s="38"/>
      <c r="D53" s="4" t="s">
        <v>5</v>
      </c>
      <c r="E53" s="1239"/>
      <c r="F53" s="1239"/>
      <c r="G53" s="13" t="s">
        <v>35</v>
      </c>
      <c r="H53" s="1308">
        <f t="shared" si="6"/>
        <v>83.522238746581863</v>
      </c>
      <c r="I53" s="1309"/>
      <c r="J53" s="1249"/>
      <c r="K53" s="1251"/>
      <c r="L53" s="1251"/>
      <c r="M53" s="1251"/>
      <c r="N53" s="95"/>
      <c r="O53" s="95"/>
      <c r="P53" s="95"/>
      <c r="Q53" s="1244"/>
      <c r="R53" s="1244"/>
      <c r="S53" s="1244"/>
      <c r="T53" s="1244"/>
      <c r="U53" s="1244"/>
      <c r="V53" s="1249"/>
      <c r="W53" s="1249"/>
      <c r="X53" s="1251"/>
      <c r="Y53" s="1251"/>
      <c r="Z53" s="1251"/>
      <c r="AA53" s="1251"/>
    </row>
    <row r="54" spans="1:27" ht="15">
      <c r="A54" s="14"/>
      <c r="B54" s="38"/>
      <c r="C54" s="38"/>
      <c r="D54" s="4" t="s">
        <v>6</v>
      </c>
      <c r="E54" s="1239"/>
      <c r="F54" s="1239"/>
      <c r="G54" s="13" t="s">
        <v>35</v>
      </c>
      <c r="H54" s="1308">
        <f t="shared" si="6"/>
        <v>14.060706062931697</v>
      </c>
      <c r="I54" s="1309"/>
      <c r="J54" s="1250"/>
      <c r="K54" s="1254"/>
      <c r="L54" s="1254"/>
      <c r="M54" s="1254"/>
      <c r="N54" s="1257"/>
      <c r="O54" s="1257"/>
      <c r="P54" s="1257"/>
      <c r="Q54" s="1244"/>
      <c r="R54" s="1244"/>
      <c r="S54" s="1244"/>
      <c r="T54" s="1244"/>
      <c r="U54" s="1244"/>
      <c r="V54" s="1250"/>
      <c r="W54" s="1250"/>
      <c r="X54" s="1254"/>
      <c r="Y54" s="1254"/>
      <c r="Z54" s="1254"/>
      <c r="AA54" s="1254"/>
    </row>
    <row r="55" spans="1:27" ht="15">
      <c r="A55" s="14"/>
      <c r="B55" s="38"/>
      <c r="C55" s="38"/>
      <c r="D55" s="4" t="s">
        <v>7</v>
      </c>
      <c r="E55" s="1239"/>
      <c r="F55" s="1239"/>
      <c r="G55" s="13" t="s">
        <v>35</v>
      </c>
      <c r="H55" s="1308">
        <f t="shared" si="6"/>
        <v>83.253828015775312</v>
      </c>
      <c r="I55" s="1309"/>
      <c r="J55" s="1255"/>
      <c r="K55" s="1252"/>
      <c r="L55" s="1252"/>
      <c r="M55" s="1252"/>
      <c r="N55" s="95"/>
      <c r="O55" s="95"/>
      <c r="P55" s="95"/>
      <c r="Q55" s="1244"/>
      <c r="R55" s="1244"/>
      <c r="S55" s="1244"/>
      <c r="T55" s="1244"/>
      <c r="U55" s="1244"/>
      <c r="V55" s="1255"/>
      <c r="W55" s="1255"/>
      <c r="X55" s="1256"/>
      <c r="Y55" s="1256"/>
      <c r="Z55" s="1256"/>
      <c r="AA55" s="1256"/>
    </row>
    <row r="56" spans="1:27" ht="15">
      <c r="A56" s="14"/>
      <c r="B56" s="38"/>
      <c r="C56" s="38"/>
      <c r="D56" s="4" t="s">
        <v>11</v>
      </c>
      <c r="E56" s="1239"/>
      <c r="F56" s="1239"/>
      <c r="G56" s="13" t="s">
        <v>35</v>
      </c>
      <c r="H56" s="1308">
        <f t="shared" si="6"/>
        <v>55.921448266765481</v>
      </c>
      <c r="I56" s="1309"/>
      <c r="J56" s="1255"/>
      <c r="K56" s="1251"/>
      <c r="L56" s="1251"/>
      <c r="M56" s="1251"/>
      <c r="N56" s="95"/>
      <c r="O56" s="95"/>
      <c r="P56" s="95"/>
      <c r="Q56" s="1244"/>
      <c r="R56" s="1244"/>
      <c r="S56" s="1244"/>
      <c r="T56" s="1244"/>
      <c r="U56" s="1244"/>
      <c r="V56" s="1249"/>
      <c r="W56" s="1249"/>
      <c r="X56" s="1252"/>
      <c r="Y56" s="1252"/>
      <c r="Z56" s="1256"/>
      <c r="AA56" s="1252"/>
    </row>
    <row r="57" spans="1:27" ht="15">
      <c r="A57" s="14"/>
      <c r="B57" s="38"/>
      <c r="C57" s="38"/>
      <c r="D57" s="4" t="s">
        <v>12</v>
      </c>
      <c r="E57" s="1239"/>
      <c r="F57" s="1239"/>
      <c r="G57" s="13" t="s">
        <v>35</v>
      </c>
      <c r="H57" s="1308">
        <f t="shared" si="6"/>
        <v>33.456010101010101</v>
      </c>
      <c r="I57" s="1309"/>
      <c r="J57" s="1255"/>
      <c r="K57" s="1251"/>
      <c r="L57" s="1256"/>
      <c r="M57" s="1256"/>
      <c r="N57" s="95"/>
      <c r="O57" s="95"/>
      <c r="P57" s="95"/>
      <c r="Q57" s="1244"/>
      <c r="R57" s="1244"/>
      <c r="S57" s="1244"/>
      <c r="T57" s="1244"/>
      <c r="U57" s="1244"/>
      <c r="V57" s="1255"/>
      <c r="W57" s="1255"/>
      <c r="X57" s="1256"/>
      <c r="Y57" s="1251"/>
      <c r="Z57" s="1256"/>
      <c r="AA57" s="1256"/>
    </row>
    <row r="58" spans="1:27" ht="15">
      <c r="A58" s="14"/>
      <c r="B58" s="38"/>
      <c r="C58" s="38"/>
      <c r="D58" s="4" t="s">
        <v>13</v>
      </c>
      <c r="E58" s="1239"/>
      <c r="F58" s="1239"/>
      <c r="G58" s="13" t="s">
        <v>35</v>
      </c>
      <c r="H58" s="1327" t="s">
        <v>77</v>
      </c>
      <c r="I58" s="1309"/>
      <c r="J58" s="1250"/>
      <c r="K58" s="1254"/>
      <c r="L58" s="1254"/>
      <c r="M58" s="1254"/>
      <c r="N58" s="95"/>
      <c r="O58" s="95"/>
      <c r="P58" s="95"/>
      <c r="Q58" s="1244"/>
      <c r="R58" s="1244"/>
      <c r="S58" s="1244"/>
      <c r="T58" s="1244"/>
      <c r="U58" s="1244"/>
      <c r="V58" s="1250"/>
      <c r="W58" s="1250"/>
      <c r="X58" s="1254"/>
      <c r="Y58" s="1254"/>
      <c r="Z58" s="1254"/>
      <c r="AA58" s="1254"/>
    </row>
    <row r="59" spans="1:27" ht="15">
      <c r="A59" s="14"/>
      <c r="B59" s="38"/>
      <c r="C59" s="38"/>
      <c r="D59" s="4" t="s">
        <v>14</v>
      </c>
      <c r="E59" s="1239"/>
      <c r="F59" s="1239"/>
      <c r="G59" s="13" t="s">
        <v>35</v>
      </c>
      <c r="H59" s="1308">
        <f>T25/U25*100</f>
        <v>96.865531399077184</v>
      </c>
      <c r="I59" s="1309"/>
      <c r="J59" s="1249"/>
      <c r="K59" s="1256"/>
      <c r="L59" s="1256"/>
      <c r="M59" s="1252"/>
      <c r="N59" s="95"/>
      <c r="O59" s="95"/>
      <c r="P59" s="95"/>
      <c r="Q59" s="1244"/>
      <c r="R59" s="1244"/>
      <c r="S59" s="1244"/>
      <c r="T59" s="1244"/>
      <c r="U59" s="1244"/>
      <c r="V59" s="1249"/>
      <c r="W59" s="1249"/>
      <c r="X59" s="1256"/>
      <c r="Y59" s="1256"/>
      <c r="Z59" s="1256"/>
      <c r="AA59" s="1256"/>
    </row>
    <row r="60" spans="1:27" ht="15">
      <c r="A60" s="14"/>
      <c r="B60" s="38"/>
      <c r="C60" s="38"/>
      <c r="D60" s="4" t="s">
        <v>33</v>
      </c>
      <c r="E60" s="1239"/>
      <c r="F60" s="1239"/>
      <c r="G60" s="13" t="s">
        <v>35</v>
      </c>
      <c r="H60" s="1308">
        <f>T26/U26*100</f>
        <v>77.117513020833329</v>
      </c>
      <c r="I60" s="1309"/>
      <c r="J60" s="1249"/>
      <c r="K60" s="1252"/>
      <c r="L60" s="1252"/>
      <c r="M60" s="1251"/>
      <c r="N60" s="95"/>
      <c r="O60" s="95"/>
      <c r="P60" s="95"/>
      <c r="Q60" s="1244"/>
      <c r="R60" s="1244"/>
      <c r="S60" s="1244"/>
      <c r="T60" s="1244"/>
      <c r="U60" s="1244"/>
      <c r="V60" s="1249"/>
      <c r="W60" s="1249"/>
      <c r="X60" s="1251"/>
      <c r="Y60" s="1251"/>
      <c r="Z60" s="1251"/>
      <c r="AA60" s="1251"/>
    </row>
    <row r="61" spans="1:27" ht="15">
      <c r="A61" s="14"/>
      <c r="B61" s="38"/>
      <c r="C61" s="38"/>
      <c r="D61" s="4" t="s">
        <v>34</v>
      </c>
      <c r="E61" s="1239"/>
      <c r="F61" s="1239"/>
      <c r="G61" s="13" t="s">
        <v>35</v>
      </c>
      <c r="H61" s="1308">
        <f>T27/U27*100</f>
        <v>20.905916881897159</v>
      </c>
      <c r="I61" s="1309"/>
      <c r="J61" s="1249"/>
      <c r="K61" s="1252"/>
      <c r="L61" s="1251"/>
      <c r="M61" s="1251"/>
      <c r="N61" s="95"/>
      <c r="O61" s="95"/>
      <c r="P61" s="95"/>
      <c r="Q61" s="1244"/>
      <c r="R61" s="1244"/>
      <c r="S61" s="1244"/>
      <c r="T61" s="1244"/>
      <c r="U61" s="1244"/>
      <c r="V61" s="1253"/>
      <c r="W61" s="1253"/>
      <c r="X61" s="1251"/>
      <c r="Y61" s="1252"/>
      <c r="Z61" s="1251"/>
      <c r="AA61" s="1251"/>
    </row>
    <row r="62" spans="1:27" ht="15">
      <c r="A62" s="14"/>
      <c r="B62" s="38"/>
      <c r="C62" s="38"/>
      <c r="D62" s="4" t="s">
        <v>3</v>
      </c>
      <c r="E62" s="1239"/>
      <c r="F62" s="1239"/>
      <c r="G62" s="13" t="s">
        <v>35</v>
      </c>
      <c r="H62" s="1327" t="s">
        <v>77</v>
      </c>
      <c r="I62" s="1309"/>
      <c r="J62" s="1250"/>
      <c r="K62" s="1254"/>
      <c r="L62" s="1254"/>
      <c r="M62" s="1254"/>
      <c r="N62" s="95"/>
      <c r="O62" s="95"/>
      <c r="P62" s="95"/>
      <c r="Q62" s="1244"/>
      <c r="R62" s="1244"/>
      <c r="S62" s="1244"/>
      <c r="T62" s="1244"/>
      <c r="U62" s="1244"/>
      <c r="V62" s="1250"/>
      <c r="W62" s="1250"/>
      <c r="X62" s="1254"/>
      <c r="Y62" s="1254"/>
      <c r="Z62" s="1254"/>
      <c r="AA62" s="1254"/>
    </row>
    <row r="63" spans="1:27" ht="15">
      <c r="A63" s="14"/>
      <c r="B63" s="38"/>
      <c r="C63" s="38"/>
      <c r="D63" s="4" t="s">
        <v>4</v>
      </c>
      <c r="E63" s="1239"/>
      <c r="F63" s="1239"/>
      <c r="G63" s="13" t="s">
        <v>35</v>
      </c>
      <c r="H63" s="1327" t="s">
        <v>77</v>
      </c>
      <c r="I63" s="1309"/>
      <c r="J63" s="1250"/>
      <c r="K63" s="1254"/>
      <c r="L63" s="1254"/>
      <c r="M63" s="1254"/>
      <c r="N63" s="95"/>
      <c r="O63" s="95"/>
      <c r="P63" s="95"/>
      <c r="Q63" s="1244"/>
      <c r="R63" s="1244"/>
      <c r="S63" s="1244"/>
      <c r="T63" s="1244"/>
      <c r="U63" s="1244"/>
      <c r="V63" s="1250"/>
      <c r="W63" s="1250"/>
      <c r="X63" s="1254"/>
      <c r="Y63" s="1254"/>
      <c r="Z63" s="1254"/>
      <c r="AA63" s="1254"/>
    </row>
    <row r="64" spans="1:27" ht="15">
      <c r="A64" s="14"/>
      <c r="B64" s="38"/>
      <c r="C64" s="38"/>
      <c r="D64" s="4" t="s">
        <v>8</v>
      </c>
      <c r="E64" s="1239"/>
      <c r="F64" s="1239"/>
      <c r="G64" s="13" t="s">
        <v>35</v>
      </c>
      <c r="H64" s="1308">
        <f>T30/U30*100</f>
        <v>26.779861963190182</v>
      </c>
      <c r="I64" s="1309"/>
      <c r="J64" s="1253"/>
      <c r="K64" s="1251"/>
      <c r="L64" s="1251"/>
      <c r="M64" s="1251"/>
      <c r="N64" s="95"/>
      <c r="O64" s="95"/>
      <c r="P64" s="95"/>
      <c r="Q64" s="1244"/>
      <c r="R64" s="1244"/>
      <c r="S64" s="1244"/>
      <c r="T64" s="1244"/>
      <c r="U64" s="1244"/>
      <c r="V64" s="1249"/>
      <c r="W64" s="1253"/>
      <c r="X64" s="1251"/>
      <c r="Y64" s="1251"/>
      <c r="Z64" s="1251"/>
      <c r="AA64" s="1251"/>
    </row>
    <row r="65" spans="1:27" ht="15">
      <c r="A65" s="14"/>
      <c r="B65" s="38"/>
      <c r="C65" s="38"/>
      <c r="D65" s="4" t="s">
        <v>9</v>
      </c>
      <c r="E65" s="1239"/>
      <c r="F65" s="1239"/>
      <c r="G65" s="13" t="s">
        <v>35</v>
      </c>
      <c r="H65" s="1327" t="s">
        <v>77</v>
      </c>
      <c r="I65" s="1309"/>
      <c r="J65" s="1250"/>
      <c r="K65" s="1254"/>
      <c r="L65" s="1254"/>
      <c r="M65" s="1254"/>
      <c r="N65" s="95"/>
      <c r="O65" s="95"/>
      <c r="P65" s="95"/>
      <c r="Q65" s="1244"/>
      <c r="R65" s="1244"/>
      <c r="S65" s="1244"/>
      <c r="T65" s="1244"/>
      <c r="U65" s="1244"/>
      <c r="V65" s="1250"/>
      <c r="W65" s="1250"/>
      <c r="X65" s="1254"/>
      <c r="Y65" s="1254"/>
      <c r="Z65" s="1254"/>
      <c r="AA65" s="1254"/>
    </row>
    <row r="66" spans="1:27" ht="15">
      <c r="A66" s="14"/>
      <c r="B66" s="38"/>
      <c r="C66" s="38"/>
      <c r="D66" s="4" t="s">
        <v>10</v>
      </c>
      <c r="E66" s="1239"/>
      <c r="F66" s="1239"/>
      <c r="G66" s="13" t="s">
        <v>35</v>
      </c>
      <c r="H66" s="1327" t="s">
        <v>77</v>
      </c>
      <c r="I66" s="1309"/>
      <c r="J66" s="1250"/>
      <c r="K66" s="1254"/>
      <c r="L66" s="1254"/>
      <c r="M66" s="1254"/>
      <c r="N66" s="95"/>
      <c r="O66" s="95"/>
      <c r="P66" s="95"/>
      <c r="Q66" s="1244"/>
      <c r="R66" s="1244"/>
      <c r="S66" s="1244"/>
      <c r="T66" s="1244"/>
      <c r="U66" s="1244"/>
      <c r="V66" s="1250"/>
      <c r="W66" s="1250"/>
      <c r="X66" s="1254"/>
      <c r="Y66" s="1254"/>
      <c r="Z66" s="1254"/>
      <c r="AA66" s="1254"/>
    </row>
    <row r="67" spans="1:27" ht="15.75" thickBot="1">
      <c r="A67" s="40"/>
      <c r="B67" s="41"/>
      <c r="C67" s="41"/>
      <c r="D67" s="34" t="s">
        <v>15</v>
      </c>
      <c r="E67" s="43"/>
      <c r="F67" s="43"/>
      <c r="G67" s="44" t="s">
        <v>35</v>
      </c>
      <c r="H67" s="1323">
        <f>T33/U33*100</f>
        <v>84.15793332368996</v>
      </c>
      <c r="I67" s="1324"/>
      <c r="J67" s="1249"/>
      <c r="K67" s="1252"/>
      <c r="L67" s="1252"/>
      <c r="M67" s="1251"/>
      <c r="N67" s="95"/>
      <c r="O67" s="95"/>
      <c r="P67" s="95"/>
      <c r="Q67" s="1244"/>
      <c r="R67" s="1244"/>
      <c r="S67" s="1244"/>
      <c r="T67" s="1244"/>
      <c r="U67" s="1244"/>
      <c r="V67" s="1249"/>
      <c r="W67" s="1249"/>
      <c r="X67" s="1252"/>
      <c r="Y67" s="1252"/>
      <c r="Z67" s="1252"/>
      <c r="AA67" s="1252"/>
    </row>
    <row r="68" spans="1:27" ht="15" customHeight="1">
      <c r="A68" s="1294" t="s">
        <v>91</v>
      </c>
      <c r="B68" s="1318"/>
      <c r="C68" s="1318"/>
      <c r="D68" s="1318"/>
      <c r="E68" s="1318"/>
      <c r="F68" s="1318"/>
      <c r="G68" s="1318"/>
      <c r="H68" s="1318"/>
      <c r="I68" s="1318"/>
      <c r="J68" s="1318"/>
      <c r="K68" s="1318"/>
      <c r="L68" s="1318"/>
      <c r="M68" s="1318"/>
      <c r="N68" s="1318"/>
      <c r="O68" s="1318"/>
      <c r="P68" s="1318"/>
      <c r="Q68" s="1318"/>
      <c r="R68" s="1318"/>
      <c r="S68" s="1318"/>
      <c r="T68" s="1318"/>
      <c r="U68" s="1318"/>
      <c r="V68" s="1318"/>
      <c r="W68" s="1318"/>
      <c r="X68" s="1318"/>
      <c r="Y68" s="1318"/>
      <c r="Z68" s="1318"/>
      <c r="AA68" s="1318"/>
    </row>
    <row r="69" spans="1:27" ht="15" customHeight="1">
      <c r="A69" s="1318"/>
      <c r="B69" s="1318"/>
      <c r="C69" s="1318"/>
      <c r="D69" s="1318"/>
      <c r="E69" s="1318"/>
      <c r="F69" s="1318"/>
      <c r="G69" s="1318"/>
      <c r="H69" s="1318"/>
      <c r="I69" s="1318"/>
      <c r="J69" s="1318"/>
      <c r="K69" s="1318"/>
      <c r="L69" s="1318"/>
      <c r="M69" s="1318"/>
      <c r="N69" s="1318"/>
      <c r="O69" s="1318"/>
      <c r="P69" s="1318"/>
      <c r="Q69" s="1318"/>
      <c r="R69" s="1318"/>
      <c r="S69" s="1318"/>
      <c r="T69" s="1318"/>
      <c r="U69" s="1318"/>
      <c r="V69" s="1318"/>
      <c r="W69" s="1318"/>
      <c r="X69" s="1318"/>
      <c r="Y69" s="1318"/>
      <c r="Z69" s="1318"/>
      <c r="AA69" s="1318"/>
    </row>
  </sheetData>
  <mergeCells count="35">
    <mergeCell ref="H66:I66"/>
    <mergeCell ref="H67:I67"/>
    <mergeCell ref="H57:I57"/>
    <mergeCell ref="H58:I58"/>
    <mergeCell ref="H59:I59"/>
    <mergeCell ref="H60:I60"/>
    <mergeCell ref="A68:AA69"/>
    <mergeCell ref="H62:I62"/>
    <mergeCell ref="H63:I63"/>
    <mergeCell ref="H64:I64"/>
    <mergeCell ref="H47:I47"/>
    <mergeCell ref="H48:I48"/>
    <mergeCell ref="H61:I61"/>
    <mergeCell ref="H50:I50"/>
    <mergeCell ref="H51:I51"/>
    <mergeCell ref="H52:I52"/>
    <mergeCell ref="H53:I53"/>
    <mergeCell ref="H54:I54"/>
    <mergeCell ref="H55:I55"/>
    <mergeCell ref="H56:I56"/>
    <mergeCell ref="H49:I49"/>
    <mergeCell ref="H65:I65"/>
    <mergeCell ref="H46:I46"/>
    <mergeCell ref="H36:I36"/>
    <mergeCell ref="H37:I37"/>
    <mergeCell ref="H38:I38"/>
    <mergeCell ref="H39:I39"/>
    <mergeCell ref="H40:I40"/>
    <mergeCell ref="H41:I41"/>
    <mergeCell ref="H42:I42"/>
    <mergeCell ref="H2:T2"/>
    <mergeCell ref="H35:I35"/>
    <mergeCell ref="H43:I43"/>
    <mergeCell ref="H44:I44"/>
    <mergeCell ref="H45:I45"/>
  </mergeCells>
  <phoneticPr fontId="5"/>
  <pageMargins left="0.70866141732283472" right="0.70866141732283472" top="0.55118110236220474" bottom="0.35433070866141736" header="0.31496062992125984" footer="0.31496062992125984"/>
  <pageSetup paperSize="8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5A9BC-C54E-401E-A595-8FB9E0964683}">
  <dimension ref="A1:U64"/>
  <sheetViews>
    <sheetView view="pageBreakPreview" topLeftCell="A12" zoomScaleNormal="100" zoomScaleSheetLayoutView="100" workbookViewId="0">
      <selection activeCell="I39" sqref="I38:I39"/>
    </sheetView>
  </sheetViews>
  <sheetFormatPr defaultRowHeight="11.25"/>
  <cols>
    <col min="1" max="2" width="2.75" style="1" customWidth="1"/>
    <col min="3" max="3" width="10.5" style="1" customWidth="1"/>
    <col min="4" max="4" width="10.125" style="1" customWidth="1"/>
    <col min="5" max="5" width="6.125" style="1" customWidth="1"/>
    <col min="6" max="19" width="12.125" style="1" customWidth="1"/>
    <col min="20" max="21" width="6.5" style="1" customWidth="1"/>
    <col min="22" max="16384" width="9" style="1"/>
  </cols>
  <sheetData>
    <row r="1" spans="1:21" ht="29.25" customHeight="1" thickBot="1">
      <c r="A1" s="2" t="s">
        <v>126</v>
      </c>
      <c r="B1" s="1140"/>
      <c r="C1" s="1140"/>
      <c r="D1" s="1140"/>
      <c r="E1" s="1140"/>
      <c r="F1" s="1140"/>
      <c r="G1" s="1140"/>
      <c r="H1" s="1140"/>
      <c r="I1" s="1140"/>
      <c r="J1" s="1140"/>
      <c r="K1" s="1140"/>
      <c r="L1" s="1140"/>
      <c r="M1" s="1140"/>
      <c r="N1" s="1140"/>
      <c r="O1" s="1140"/>
      <c r="P1" s="1140"/>
      <c r="Q1" s="1140"/>
      <c r="R1" s="1140"/>
      <c r="S1" s="1140"/>
      <c r="T1" s="1140"/>
      <c r="U1" s="1140"/>
    </row>
    <row r="2" spans="1:21" ht="16.5" customHeight="1">
      <c r="A2" s="10"/>
      <c r="B2" s="11"/>
      <c r="C2" s="11"/>
      <c r="D2" s="11"/>
      <c r="E2" s="11"/>
      <c r="F2" s="1284" t="s">
        <v>53</v>
      </c>
      <c r="G2" s="1285"/>
      <c r="H2" s="1285"/>
      <c r="I2" s="1285"/>
      <c r="J2" s="1285"/>
      <c r="K2" s="1285"/>
      <c r="L2" s="1285"/>
      <c r="M2" s="1285"/>
      <c r="N2" s="1285"/>
      <c r="O2" s="1285"/>
      <c r="P2" s="1285"/>
      <c r="Q2" s="1285"/>
      <c r="R2" s="1285"/>
      <c r="S2" s="1130" t="s">
        <v>54</v>
      </c>
      <c r="T2" s="1140"/>
      <c r="U2" s="1140"/>
    </row>
    <row r="3" spans="1:21" ht="15.75" thickBot="1">
      <c r="A3" s="19"/>
      <c r="B3" s="20"/>
      <c r="C3" s="20"/>
      <c r="D3" s="20"/>
      <c r="E3" s="20"/>
      <c r="F3" s="1006" t="s">
        <v>109</v>
      </c>
      <c r="G3" s="25" t="s">
        <v>110</v>
      </c>
      <c r="H3" s="25" t="s">
        <v>111</v>
      </c>
      <c r="I3" s="25" t="s">
        <v>112</v>
      </c>
      <c r="J3" s="25" t="s">
        <v>113</v>
      </c>
      <c r="K3" s="25" t="s">
        <v>114</v>
      </c>
      <c r="L3" s="25" t="s">
        <v>115</v>
      </c>
      <c r="M3" s="25" t="s">
        <v>116</v>
      </c>
      <c r="N3" s="25" t="s">
        <v>117</v>
      </c>
      <c r="O3" s="25" t="s">
        <v>118</v>
      </c>
      <c r="P3" s="25" t="s">
        <v>124</v>
      </c>
      <c r="Q3" s="27" t="s">
        <v>125</v>
      </c>
      <c r="R3" s="57" t="s">
        <v>130</v>
      </c>
      <c r="S3" s="1176" t="s">
        <v>130</v>
      </c>
      <c r="T3" s="1140"/>
      <c r="U3" s="1140"/>
    </row>
    <row r="4" spans="1:21" ht="15.75" hidden="1" thickTop="1">
      <c r="A4" s="1286" t="s">
        <v>164</v>
      </c>
      <c r="B4" s="1287"/>
      <c r="C4" s="1287"/>
      <c r="D4" s="1287"/>
      <c r="E4" s="1188" t="s">
        <v>163</v>
      </c>
      <c r="F4" s="1189">
        <v>17195</v>
      </c>
      <c r="G4" s="1190">
        <v>17167</v>
      </c>
      <c r="H4" s="1190">
        <v>17137</v>
      </c>
      <c r="I4" s="1190">
        <v>17123</v>
      </c>
      <c r="J4" s="1190">
        <v>17113</v>
      </c>
      <c r="K4" s="1190">
        <v>17084</v>
      </c>
      <c r="L4" s="1190">
        <v>17076</v>
      </c>
      <c r="M4" s="1190">
        <v>17041</v>
      </c>
      <c r="N4" s="1190">
        <v>17018</v>
      </c>
      <c r="O4" s="1217">
        <v>16981</v>
      </c>
      <c r="P4" s="1194">
        <v>16959</v>
      </c>
      <c r="Q4" s="1225">
        <v>16880</v>
      </c>
      <c r="R4" s="1220"/>
      <c r="S4" s="1191"/>
      <c r="T4" s="1140"/>
      <c r="U4" s="1140"/>
    </row>
    <row r="5" spans="1:21" ht="15.75" thickTop="1">
      <c r="A5" s="1214" t="s">
        <v>80</v>
      </c>
      <c r="B5" s="1215"/>
      <c r="C5" s="1215"/>
      <c r="D5" s="1215"/>
      <c r="E5" s="1215" t="s">
        <v>37</v>
      </c>
      <c r="F5" s="1009">
        <v>6554</v>
      </c>
      <c r="G5" s="1010">
        <v>6557</v>
      </c>
      <c r="H5" s="1010">
        <v>6566</v>
      </c>
      <c r="I5" s="1011">
        <v>6591</v>
      </c>
      <c r="J5" s="1011">
        <v>6598</v>
      </c>
      <c r="K5" s="1127">
        <v>6591</v>
      </c>
      <c r="L5" s="1010">
        <v>6604</v>
      </c>
      <c r="M5" s="1010">
        <v>6606</v>
      </c>
      <c r="N5" s="1010">
        <v>6602</v>
      </c>
      <c r="O5" s="1012">
        <v>6615</v>
      </c>
      <c r="P5" s="1016">
        <v>6621</v>
      </c>
      <c r="Q5" s="1017">
        <v>6628</v>
      </c>
      <c r="R5" s="1013">
        <v>6591</v>
      </c>
      <c r="S5" s="1135">
        <v>6582</v>
      </c>
      <c r="T5" s="1140"/>
      <c r="U5" s="1140"/>
    </row>
    <row r="6" spans="1:21" ht="15" hidden="1">
      <c r="A6" s="1212" t="s">
        <v>165</v>
      </c>
      <c r="B6" s="1215"/>
      <c r="C6" s="1215"/>
      <c r="D6" s="1215"/>
      <c r="E6" s="1215" t="s">
        <v>166</v>
      </c>
      <c r="F6" s="1208">
        <f>F5/F4*100</f>
        <v>38.115731317243387</v>
      </c>
      <c r="G6" s="1019">
        <f t="shared" ref="G6:O6" si="0">G5/G4*100</f>
        <v>38.195374847090349</v>
      </c>
      <c r="H6" s="1019">
        <f t="shared" si="0"/>
        <v>38.314757542160237</v>
      </c>
      <c r="I6" s="1019">
        <f t="shared" si="0"/>
        <v>38.492086667056007</v>
      </c>
      <c r="J6" s="1019">
        <f t="shared" si="0"/>
        <v>38.55548413486823</v>
      </c>
      <c r="K6" s="1019">
        <f t="shared" si="0"/>
        <v>38.579957855303206</v>
      </c>
      <c r="L6" s="1019">
        <f t="shared" si="0"/>
        <v>38.674162567345981</v>
      </c>
      <c r="M6" s="1019">
        <f t="shared" si="0"/>
        <v>38.765330673082566</v>
      </c>
      <c r="N6" s="1019">
        <f t="shared" si="0"/>
        <v>38.794217886943237</v>
      </c>
      <c r="O6" s="1198">
        <f t="shared" si="0"/>
        <v>38.95530298568989</v>
      </c>
      <c r="P6" s="1019">
        <f>P5/P4*100</f>
        <v>39.041217052892272</v>
      </c>
      <c r="Q6" s="1229">
        <f>Q5/Q4*100</f>
        <v>39.26540284360189</v>
      </c>
      <c r="R6" s="1196"/>
      <c r="S6" s="1192"/>
      <c r="T6" s="1140"/>
      <c r="U6" s="1140"/>
    </row>
    <row r="7" spans="1:21" ht="15" hidden="1">
      <c r="A7" s="1288" t="s">
        <v>167</v>
      </c>
      <c r="B7" s="1289"/>
      <c r="C7" s="1289"/>
      <c r="D7" s="1289"/>
      <c r="E7" s="1213" t="s">
        <v>37</v>
      </c>
      <c r="F7" s="1204">
        <v>116</v>
      </c>
      <c r="G7" s="1205">
        <v>114</v>
      </c>
      <c r="H7" s="1206">
        <v>111</v>
      </c>
      <c r="I7" s="1206">
        <v>109</v>
      </c>
      <c r="J7" s="1206">
        <v>111</v>
      </c>
      <c r="K7" s="1206">
        <v>110</v>
      </c>
      <c r="L7" s="1206">
        <v>111</v>
      </c>
      <c r="M7" s="1206">
        <v>107</v>
      </c>
      <c r="N7" s="1206">
        <v>109</v>
      </c>
      <c r="O7" s="1218">
        <v>108</v>
      </c>
      <c r="P7" s="1206">
        <v>105</v>
      </c>
      <c r="Q7" s="1224">
        <v>107</v>
      </c>
      <c r="R7" s="1196"/>
      <c r="S7" s="1192"/>
      <c r="T7" s="1140"/>
      <c r="U7" s="1140"/>
    </row>
    <row r="8" spans="1:21" ht="15">
      <c r="A8" s="39" t="s">
        <v>78</v>
      </c>
      <c r="B8" s="1213"/>
      <c r="C8" s="1213"/>
      <c r="D8" s="1213"/>
      <c r="E8" s="1213" t="s">
        <v>37</v>
      </c>
      <c r="F8" s="1226">
        <f t="shared" ref="F8:Q8" si="1">F9+F14</f>
        <v>1009</v>
      </c>
      <c r="G8" s="1015">
        <f t="shared" si="1"/>
        <v>1006</v>
      </c>
      <c r="H8" s="1015">
        <f t="shared" si="1"/>
        <v>1006</v>
      </c>
      <c r="I8" s="1015">
        <f t="shared" si="1"/>
        <v>1018</v>
      </c>
      <c r="J8" s="1015">
        <f t="shared" si="1"/>
        <v>1016</v>
      </c>
      <c r="K8" s="1015">
        <f t="shared" si="1"/>
        <v>1014</v>
      </c>
      <c r="L8" s="1015">
        <f t="shared" si="1"/>
        <v>1018</v>
      </c>
      <c r="M8" s="1015">
        <f t="shared" si="1"/>
        <v>1017</v>
      </c>
      <c r="N8" s="1015">
        <f t="shared" si="1"/>
        <v>1013</v>
      </c>
      <c r="O8" s="1015">
        <f t="shared" si="1"/>
        <v>1007</v>
      </c>
      <c r="P8" s="1015">
        <f t="shared" si="1"/>
        <v>999</v>
      </c>
      <c r="Q8" s="1227">
        <f t="shared" si="1"/>
        <v>1005</v>
      </c>
      <c r="R8" s="1180">
        <v>1014</v>
      </c>
      <c r="S8" s="1133">
        <v>1268</v>
      </c>
      <c r="T8" s="1140"/>
      <c r="U8" s="1140"/>
    </row>
    <row r="9" spans="1:21" ht="15">
      <c r="A9" s="14"/>
      <c r="B9" s="1158" t="s">
        <v>142</v>
      </c>
      <c r="C9" s="1159"/>
      <c r="D9" s="1159"/>
      <c r="E9" s="1159" t="s">
        <v>37</v>
      </c>
      <c r="F9" s="1160">
        <f>SUM(F10:F13)</f>
        <v>525</v>
      </c>
      <c r="G9" s="1161">
        <f t="shared" ref="G9:M9" si="2">SUM(G10:G13)</f>
        <v>525</v>
      </c>
      <c r="H9" s="1161">
        <f t="shared" si="2"/>
        <v>527</v>
      </c>
      <c r="I9" s="1162">
        <f t="shared" si="2"/>
        <v>533</v>
      </c>
      <c r="J9" s="1162">
        <f t="shared" si="2"/>
        <v>532</v>
      </c>
      <c r="K9" s="1162">
        <f t="shared" si="2"/>
        <v>538</v>
      </c>
      <c r="L9" s="1161">
        <f t="shared" si="2"/>
        <v>535</v>
      </c>
      <c r="M9" s="1161">
        <f t="shared" si="2"/>
        <v>527</v>
      </c>
      <c r="N9" s="1161">
        <f>SUM(N10:N13)</f>
        <v>517</v>
      </c>
      <c r="O9" s="1199">
        <f>SUM(O10:O13)</f>
        <v>518</v>
      </c>
      <c r="P9" s="1162">
        <f t="shared" ref="P9:Q9" si="3">SUM(P10:P13)</f>
        <v>522</v>
      </c>
      <c r="Q9" s="1163">
        <f t="shared" si="3"/>
        <v>528</v>
      </c>
      <c r="R9" s="1181">
        <f>SUM(R10:R13)</f>
        <v>538</v>
      </c>
      <c r="S9" s="1177">
        <f>SUM(S10:S13)</f>
        <v>673</v>
      </c>
      <c r="T9" s="1140"/>
      <c r="U9" s="1140"/>
    </row>
    <row r="10" spans="1:21" ht="15">
      <c r="A10" s="1290"/>
      <c r="B10" s="1156"/>
      <c r="C10" s="1213" t="s">
        <v>134</v>
      </c>
      <c r="D10" s="1213"/>
      <c r="E10" s="1213" t="s">
        <v>37</v>
      </c>
      <c r="F10" s="1014">
        <v>59</v>
      </c>
      <c r="G10" s="1015">
        <v>58</v>
      </c>
      <c r="H10" s="1015">
        <v>60</v>
      </c>
      <c r="I10" s="1016">
        <v>58</v>
      </c>
      <c r="J10" s="1016">
        <v>55</v>
      </c>
      <c r="K10" s="1126">
        <v>52</v>
      </c>
      <c r="L10" s="1015">
        <v>50</v>
      </c>
      <c r="M10" s="1015">
        <v>49</v>
      </c>
      <c r="N10" s="1015">
        <v>47</v>
      </c>
      <c r="O10" s="1145">
        <v>47</v>
      </c>
      <c r="P10" s="1016">
        <v>47</v>
      </c>
      <c r="Q10" s="1017">
        <v>46</v>
      </c>
      <c r="R10" s="1221">
        <v>52</v>
      </c>
      <c r="S10" s="1133">
        <v>82</v>
      </c>
      <c r="T10" s="1140"/>
      <c r="U10" s="1140"/>
    </row>
    <row r="11" spans="1:21" ht="15">
      <c r="A11" s="1290"/>
      <c r="B11" s="1156"/>
      <c r="C11" s="1213" t="s">
        <v>139</v>
      </c>
      <c r="D11" s="1213"/>
      <c r="E11" s="1213" t="s">
        <v>37</v>
      </c>
      <c r="F11" s="1014">
        <v>73</v>
      </c>
      <c r="G11" s="1015">
        <v>74</v>
      </c>
      <c r="H11" s="1015">
        <v>74</v>
      </c>
      <c r="I11" s="1016">
        <v>77</v>
      </c>
      <c r="J11" s="1016">
        <v>76</v>
      </c>
      <c r="K11" s="1126">
        <v>78</v>
      </c>
      <c r="L11" s="1015">
        <v>79</v>
      </c>
      <c r="M11" s="1015">
        <v>77</v>
      </c>
      <c r="N11" s="1015">
        <v>82</v>
      </c>
      <c r="O11" s="1145">
        <v>82</v>
      </c>
      <c r="P11" s="1016">
        <v>83</v>
      </c>
      <c r="Q11" s="1017">
        <v>88</v>
      </c>
      <c r="R11" s="1222">
        <v>78</v>
      </c>
      <c r="S11" s="1133">
        <v>97</v>
      </c>
      <c r="T11" s="1140"/>
      <c r="U11" s="1140"/>
    </row>
    <row r="12" spans="1:21" ht="15">
      <c r="A12" s="1290"/>
      <c r="B12" s="1156"/>
      <c r="C12" s="1213" t="s">
        <v>140</v>
      </c>
      <c r="D12" s="1213"/>
      <c r="E12" s="1213" t="s">
        <v>37</v>
      </c>
      <c r="F12" s="1014">
        <v>185</v>
      </c>
      <c r="G12" s="1015">
        <v>186</v>
      </c>
      <c r="H12" s="1015">
        <v>187</v>
      </c>
      <c r="I12" s="1016">
        <v>192</v>
      </c>
      <c r="J12" s="1016">
        <v>196</v>
      </c>
      <c r="K12" s="1126">
        <v>200</v>
      </c>
      <c r="L12" s="1015">
        <v>203</v>
      </c>
      <c r="M12" s="1015">
        <v>200</v>
      </c>
      <c r="N12" s="1015">
        <v>194</v>
      </c>
      <c r="O12" s="1145">
        <v>189</v>
      </c>
      <c r="P12" s="1016">
        <v>194</v>
      </c>
      <c r="Q12" s="1017">
        <v>196</v>
      </c>
      <c r="R12" s="1222">
        <v>200</v>
      </c>
      <c r="S12" s="1133">
        <v>263</v>
      </c>
      <c r="T12" s="1140"/>
      <c r="U12" s="1140"/>
    </row>
    <row r="13" spans="1:21" ht="15">
      <c r="A13" s="1290"/>
      <c r="B13" s="1157"/>
      <c r="C13" s="1213" t="s">
        <v>141</v>
      </c>
      <c r="D13" s="1213"/>
      <c r="E13" s="1213" t="s">
        <v>37</v>
      </c>
      <c r="F13" s="1014">
        <v>208</v>
      </c>
      <c r="G13" s="1015">
        <v>207</v>
      </c>
      <c r="H13" s="1015">
        <v>206</v>
      </c>
      <c r="I13" s="1016">
        <v>206</v>
      </c>
      <c r="J13" s="1016">
        <v>205</v>
      </c>
      <c r="K13" s="1126">
        <v>208</v>
      </c>
      <c r="L13" s="1015">
        <v>203</v>
      </c>
      <c r="M13" s="1015">
        <v>201</v>
      </c>
      <c r="N13" s="1015">
        <v>194</v>
      </c>
      <c r="O13" s="1145">
        <v>200</v>
      </c>
      <c r="P13" s="1016">
        <v>198</v>
      </c>
      <c r="Q13" s="1017">
        <v>198</v>
      </c>
      <c r="R13" s="1222">
        <v>208</v>
      </c>
      <c r="S13" s="1133">
        <v>231</v>
      </c>
      <c r="T13" s="1140"/>
      <c r="U13" s="1140"/>
    </row>
    <row r="14" spans="1:21" ht="15">
      <c r="A14" s="1290"/>
      <c r="B14" s="1158" t="s">
        <v>136</v>
      </c>
      <c r="C14" s="1159"/>
      <c r="D14" s="1159"/>
      <c r="E14" s="1159" t="s">
        <v>37</v>
      </c>
      <c r="F14" s="1160">
        <f>SUM(F15:F17)</f>
        <v>484</v>
      </c>
      <c r="G14" s="1161">
        <f t="shared" ref="G14:M14" si="4">SUM(G15:G17)</f>
        <v>481</v>
      </c>
      <c r="H14" s="1161">
        <f t="shared" si="4"/>
        <v>479</v>
      </c>
      <c r="I14" s="1162">
        <f t="shared" si="4"/>
        <v>485</v>
      </c>
      <c r="J14" s="1162">
        <f t="shared" si="4"/>
        <v>484</v>
      </c>
      <c r="K14" s="1162">
        <f t="shared" si="4"/>
        <v>476</v>
      </c>
      <c r="L14" s="1161">
        <f t="shared" si="4"/>
        <v>483</v>
      </c>
      <c r="M14" s="1161">
        <f t="shared" si="4"/>
        <v>490</v>
      </c>
      <c r="N14" s="1161">
        <f>SUM(N15:N17)</f>
        <v>496</v>
      </c>
      <c r="O14" s="1199">
        <f>SUM(O15:O17)</f>
        <v>489</v>
      </c>
      <c r="P14" s="1162">
        <f>SUM(P15:P17)</f>
        <v>477</v>
      </c>
      <c r="Q14" s="1163">
        <f t="shared" ref="Q14" si="5">SUM(Q15:Q17)</f>
        <v>477</v>
      </c>
      <c r="R14" s="1172">
        <f>SUM(R15:R17)</f>
        <v>476</v>
      </c>
      <c r="S14" s="1177">
        <f>SUM(S15:S17)</f>
        <v>595</v>
      </c>
      <c r="T14" s="1140"/>
      <c r="U14" s="1140"/>
    </row>
    <row r="15" spans="1:21" ht="15">
      <c r="A15" s="1290"/>
      <c r="B15" s="1156"/>
      <c r="C15" s="1213" t="s">
        <v>135</v>
      </c>
      <c r="D15" s="1213"/>
      <c r="E15" s="1213" t="s">
        <v>37</v>
      </c>
      <c r="F15" s="1014">
        <v>169</v>
      </c>
      <c r="G15" s="1015">
        <v>168</v>
      </c>
      <c r="H15" s="1015">
        <v>163</v>
      </c>
      <c r="I15" s="1016">
        <v>167</v>
      </c>
      <c r="J15" s="1016">
        <v>165</v>
      </c>
      <c r="K15" s="1126">
        <v>162</v>
      </c>
      <c r="L15" s="1015">
        <v>159</v>
      </c>
      <c r="M15" s="1015">
        <v>164</v>
      </c>
      <c r="N15" s="1015">
        <v>163</v>
      </c>
      <c r="O15" s="1145">
        <v>160</v>
      </c>
      <c r="P15" s="1016">
        <v>155</v>
      </c>
      <c r="Q15" s="1017">
        <v>148</v>
      </c>
      <c r="R15" s="1222">
        <v>162</v>
      </c>
      <c r="S15" s="1133">
        <v>187</v>
      </c>
      <c r="T15" s="1140"/>
      <c r="U15" s="1140"/>
    </row>
    <row r="16" spans="1:21" ht="15">
      <c r="A16" s="1290"/>
      <c r="B16" s="1156"/>
      <c r="C16" s="1213" t="s">
        <v>137</v>
      </c>
      <c r="D16" s="1213"/>
      <c r="E16" s="1213" t="s">
        <v>37</v>
      </c>
      <c r="F16" s="1014">
        <v>173</v>
      </c>
      <c r="G16" s="1015">
        <v>177</v>
      </c>
      <c r="H16" s="1015">
        <v>180</v>
      </c>
      <c r="I16" s="1016">
        <v>180</v>
      </c>
      <c r="J16" s="1016">
        <v>183</v>
      </c>
      <c r="K16" s="1126">
        <v>183</v>
      </c>
      <c r="L16" s="1015">
        <v>190</v>
      </c>
      <c r="M16" s="1015">
        <v>193</v>
      </c>
      <c r="N16" s="1015">
        <v>197</v>
      </c>
      <c r="O16" s="1145">
        <v>189</v>
      </c>
      <c r="P16" s="1016">
        <v>185</v>
      </c>
      <c r="Q16" s="1017">
        <v>188</v>
      </c>
      <c r="R16" s="1222">
        <v>183</v>
      </c>
      <c r="S16" s="1133">
        <v>210</v>
      </c>
      <c r="T16" s="1140"/>
      <c r="U16" s="1140"/>
    </row>
    <row r="17" spans="1:21" ht="15">
      <c r="A17" s="1291"/>
      <c r="B17" s="1157"/>
      <c r="C17" s="1213" t="s">
        <v>138</v>
      </c>
      <c r="D17" s="1213"/>
      <c r="E17" s="1213" t="s">
        <v>37</v>
      </c>
      <c r="F17" s="1014">
        <v>142</v>
      </c>
      <c r="G17" s="1015">
        <v>136</v>
      </c>
      <c r="H17" s="1015">
        <v>136</v>
      </c>
      <c r="I17" s="1016">
        <v>138</v>
      </c>
      <c r="J17" s="1016">
        <v>136</v>
      </c>
      <c r="K17" s="1126">
        <v>131</v>
      </c>
      <c r="L17" s="1015">
        <v>134</v>
      </c>
      <c r="M17" s="1015">
        <v>133</v>
      </c>
      <c r="N17" s="1015">
        <v>136</v>
      </c>
      <c r="O17" s="1145">
        <v>140</v>
      </c>
      <c r="P17" s="1016">
        <v>137</v>
      </c>
      <c r="Q17" s="1017">
        <v>141</v>
      </c>
      <c r="R17" s="1222">
        <v>131</v>
      </c>
      <c r="S17" s="1133">
        <v>198</v>
      </c>
      <c r="T17" s="1140"/>
      <c r="U17" s="1140"/>
    </row>
    <row r="18" spans="1:21" ht="15">
      <c r="A18" s="1212" t="s">
        <v>81</v>
      </c>
      <c r="B18" s="1213"/>
      <c r="C18" s="1213"/>
      <c r="D18" s="1213"/>
      <c r="E18" s="1213" t="s">
        <v>37</v>
      </c>
      <c r="F18" s="1014">
        <v>31</v>
      </c>
      <c r="G18" s="1015">
        <v>30</v>
      </c>
      <c r="H18" s="1015">
        <v>30</v>
      </c>
      <c r="I18" s="1016">
        <v>30</v>
      </c>
      <c r="J18" s="1016">
        <v>30</v>
      </c>
      <c r="K18" s="1126">
        <v>32</v>
      </c>
      <c r="L18" s="1015">
        <v>32</v>
      </c>
      <c r="M18" s="1015">
        <v>32</v>
      </c>
      <c r="N18" s="1015">
        <v>32</v>
      </c>
      <c r="O18" s="1145">
        <v>31</v>
      </c>
      <c r="P18" s="1016">
        <v>31</v>
      </c>
      <c r="Q18" s="1017">
        <v>30</v>
      </c>
      <c r="R18" s="1216">
        <v>32</v>
      </c>
      <c r="S18" s="1178">
        <v>37</v>
      </c>
      <c r="T18" s="1140"/>
      <c r="U18" s="1140"/>
    </row>
    <row r="19" spans="1:21" s="1232" customFormat="1" ht="15">
      <c r="A19" s="1164" t="s">
        <v>79</v>
      </c>
      <c r="B19" s="1159"/>
      <c r="C19" s="1159"/>
      <c r="D19" s="1159"/>
      <c r="E19" s="1159" t="s">
        <v>43</v>
      </c>
      <c r="F19" s="1165">
        <f>F8/F5*100</f>
        <v>15.395178516936223</v>
      </c>
      <c r="G19" s="1166">
        <f t="shared" ref="G19:S19" si="6">G8/G5*100</f>
        <v>15.342382186975751</v>
      </c>
      <c r="H19" s="1166">
        <f t="shared" si="6"/>
        <v>15.32135242156564</v>
      </c>
      <c r="I19" s="1167">
        <f t="shared" si="6"/>
        <v>15.445304202700653</v>
      </c>
      <c r="J19" s="1167">
        <f t="shared" si="6"/>
        <v>15.398605638072144</v>
      </c>
      <c r="K19" s="1167">
        <f t="shared" si="6"/>
        <v>15.384615384615385</v>
      </c>
      <c r="L19" s="1168">
        <f t="shared" si="6"/>
        <v>15.414900060569353</v>
      </c>
      <c r="M19" s="1168">
        <f t="shared" si="6"/>
        <v>15.395095367847411</v>
      </c>
      <c r="N19" s="1168">
        <f t="shared" si="6"/>
        <v>15.343835201454104</v>
      </c>
      <c r="O19" s="1219">
        <f t="shared" si="6"/>
        <v>15.222978080120939</v>
      </c>
      <c r="P19" s="1168">
        <f t="shared" si="6"/>
        <v>15.088355233348436</v>
      </c>
      <c r="Q19" s="1230">
        <f>Q8/Q5*100</f>
        <v>15.162945081472539</v>
      </c>
      <c r="R19" s="1223">
        <v>15.38</v>
      </c>
      <c r="S19" s="1179">
        <f t="shared" si="6"/>
        <v>19.264661197204497</v>
      </c>
      <c r="T19" s="1231"/>
      <c r="U19" s="1231"/>
    </row>
    <row r="20" spans="1:21" ht="15">
      <c r="A20" s="39" t="s">
        <v>89</v>
      </c>
      <c r="B20" s="1213"/>
      <c r="C20" s="1213"/>
      <c r="D20" s="1213"/>
      <c r="E20" s="1213" t="s">
        <v>37</v>
      </c>
      <c r="F20" s="1014">
        <f>SUM(F21:F23)</f>
        <v>925</v>
      </c>
      <c r="G20" s="1015">
        <f t="shared" ref="G20:Q20" si="7">SUM(G21:G23)</f>
        <v>912</v>
      </c>
      <c r="H20" s="1149">
        <f t="shared" si="7"/>
        <v>914</v>
      </c>
      <c r="I20" s="1149">
        <f t="shared" si="7"/>
        <v>920</v>
      </c>
      <c r="J20" s="1015">
        <f t="shared" si="7"/>
        <v>910</v>
      </c>
      <c r="K20" s="1015">
        <f t="shared" si="7"/>
        <v>920</v>
      </c>
      <c r="L20" s="1203">
        <f t="shared" si="7"/>
        <v>923</v>
      </c>
      <c r="M20" s="1203">
        <f>SUM(M21:M23)</f>
        <v>914</v>
      </c>
      <c r="N20" s="1015">
        <f t="shared" si="7"/>
        <v>922</v>
      </c>
      <c r="O20" s="1015">
        <f t="shared" si="7"/>
        <v>912</v>
      </c>
      <c r="P20" s="1015">
        <f t="shared" si="7"/>
        <v>900</v>
      </c>
      <c r="Q20" s="1227">
        <f t="shared" si="7"/>
        <v>912</v>
      </c>
      <c r="R20" s="1173">
        <f>SUM(R21:R23)</f>
        <v>920</v>
      </c>
      <c r="S20" s="1178" t="s">
        <v>168</v>
      </c>
      <c r="T20" s="1140"/>
      <c r="U20" s="1140"/>
    </row>
    <row r="21" spans="1:21" ht="15">
      <c r="A21" s="12"/>
      <c r="B21" s="4" t="s">
        <v>20</v>
      </c>
      <c r="C21" s="1213"/>
      <c r="D21" s="1213"/>
      <c r="E21" s="1213" t="s">
        <v>37</v>
      </c>
      <c r="F21" s="1014">
        <v>230</v>
      </c>
      <c r="G21" s="1015">
        <v>224</v>
      </c>
      <c r="H21" s="1015">
        <v>225</v>
      </c>
      <c r="I21" s="1016">
        <v>222</v>
      </c>
      <c r="J21" s="1016">
        <v>220</v>
      </c>
      <c r="K21" s="1126">
        <v>227</v>
      </c>
      <c r="L21" s="1153">
        <v>226</v>
      </c>
      <c r="M21" s="1145">
        <v>220</v>
      </c>
      <c r="N21" s="1016">
        <v>220</v>
      </c>
      <c r="O21" s="1016">
        <v>223</v>
      </c>
      <c r="P21" s="1016">
        <v>223</v>
      </c>
      <c r="Q21" s="1017">
        <v>226</v>
      </c>
      <c r="R21" s="1175">
        <v>227</v>
      </c>
      <c r="S21" s="1178" t="s">
        <v>168</v>
      </c>
      <c r="T21" s="1140"/>
      <c r="U21" s="1140"/>
    </row>
    <row r="22" spans="1:21" ht="15">
      <c r="A22" s="14"/>
      <c r="B22" s="4" t="s">
        <v>31</v>
      </c>
      <c r="C22" s="1213"/>
      <c r="D22" s="1213"/>
      <c r="E22" s="1213" t="s">
        <v>37</v>
      </c>
      <c r="F22" s="1014">
        <v>56</v>
      </c>
      <c r="G22" s="1015">
        <v>55</v>
      </c>
      <c r="H22" s="1015">
        <v>54</v>
      </c>
      <c r="I22" s="1016">
        <v>53</v>
      </c>
      <c r="J22" s="1016">
        <v>55</v>
      </c>
      <c r="K22" s="1126">
        <v>54</v>
      </c>
      <c r="L22" s="1153">
        <v>53</v>
      </c>
      <c r="M22" s="1145">
        <v>55</v>
      </c>
      <c r="N22" s="1016">
        <v>54</v>
      </c>
      <c r="O22" s="1016">
        <v>51</v>
      </c>
      <c r="P22" s="1016">
        <v>52</v>
      </c>
      <c r="Q22" s="1017">
        <v>53</v>
      </c>
      <c r="R22" s="1175">
        <v>54</v>
      </c>
      <c r="S22" s="1178" t="s">
        <v>168</v>
      </c>
      <c r="T22" s="1140"/>
      <c r="U22" s="1140"/>
    </row>
    <row r="23" spans="1:21" ht="15">
      <c r="A23" s="1214"/>
      <c r="B23" s="4" t="s">
        <v>1</v>
      </c>
      <c r="C23" s="1213"/>
      <c r="D23" s="1213"/>
      <c r="E23" s="1213" t="s">
        <v>37</v>
      </c>
      <c r="F23" s="1014">
        <v>639</v>
      </c>
      <c r="G23" s="1015">
        <v>633</v>
      </c>
      <c r="H23" s="1015">
        <v>635</v>
      </c>
      <c r="I23" s="1016">
        <v>645</v>
      </c>
      <c r="J23" s="1016">
        <v>635</v>
      </c>
      <c r="K23" s="1126">
        <v>639</v>
      </c>
      <c r="L23" s="1153">
        <v>644</v>
      </c>
      <c r="M23" s="1145">
        <v>639</v>
      </c>
      <c r="N23" s="1016">
        <v>648</v>
      </c>
      <c r="O23" s="1016">
        <v>638</v>
      </c>
      <c r="P23" s="1016">
        <v>625</v>
      </c>
      <c r="Q23" s="1017">
        <v>633</v>
      </c>
      <c r="R23" s="1175">
        <v>639</v>
      </c>
      <c r="S23" s="1178" t="s">
        <v>168</v>
      </c>
      <c r="T23" s="1140"/>
      <c r="U23" s="1140"/>
    </row>
    <row r="24" spans="1:21" ht="15">
      <c r="A24" s="39" t="s">
        <v>0</v>
      </c>
      <c r="B24" s="1213"/>
      <c r="C24" s="1213"/>
      <c r="D24" s="1213"/>
      <c r="E24" s="1213" t="s">
        <v>36</v>
      </c>
      <c r="F24" s="1014">
        <f>SUM(F25:F27)</f>
        <v>158225010</v>
      </c>
      <c r="G24" s="1015">
        <f t="shared" ref="G24:Q24" si="8">SUM(G25:G27)</f>
        <v>155577191</v>
      </c>
      <c r="H24" s="1015">
        <f t="shared" si="8"/>
        <v>158180086</v>
      </c>
      <c r="I24" s="1016">
        <f t="shared" si="8"/>
        <v>155034053</v>
      </c>
      <c r="J24" s="1016">
        <f t="shared" si="8"/>
        <v>159374632</v>
      </c>
      <c r="K24" s="1016">
        <f t="shared" si="8"/>
        <v>156392643</v>
      </c>
      <c r="L24" s="1011">
        <f t="shared" si="8"/>
        <v>154056183</v>
      </c>
      <c r="M24" s="1011">
        <f t="shared" si="8"/>
        <v>164949176</v>
      </c>
      <c r="N24" s="1011">
        <f t="shared" si="8"/>
        <v>157373397</v>
      </c>
      <c r="O24" s="1012">
        <f t="shared" si="8"/>
        <v>160030124</v>
      </c>
      <c r="P24" s="1011">
        <f t="shared" si="8"/>
        <v>158058235</v>
      </c>
      <c r="Q24" s="1079">
        <f t="shared" si="8"/>
        <v>151786227</v>
      </c>
      <c r="R24" s="1216">
        <f>SUM(R25:R27)</f>
        <v>1889036957</v>
      </c>
      <c r="S24" s="1133">
        <f>SUM(S25:S27)</f>
        <v>2046308000</v>
      </c>
      <c r="T24" s="1140"/>
      <c r="U24" s="1140"/>
    </row>
    <row r="25" spans="1:21" ht="15">
      <c r="A25" s="12"/>
      <c r="B25" s="4" t="s">
        <v>20</v>
      </c>
      <c r="C25" s="1213"/>
      <c r="D25" s="1213"/>
      <c r="E25" s="1213" t="s">
        <v>36</v>
      </c>
      <c r="F25" s="1014">
        <f>'総括表詳細（給付費H31）'!H4</f>
        <v>63205922</v>
      </c>
      <c r="G25" s="1015">
        <f>'総括表詳細（給付費H31）'!I4</f>
        <v>62237460</v>
      </c>
      <c r="H25" s="1015">
        <f>'総括表詳細（給付費H31）'!J4</f>
        <v>63550905</v>
      </c>
      <c r="I25" s="1016">
        <f>'総括表詳細（給付費H31）'!K4</f>
        <v>62534155</v>
      </c>
      <c r="J25" s="1016">
        <f>'総括表詳細（給付費H31）'!L4</f>
        <v>63105928</v>
      </c>
      <c r="K25" s="1016">
        <f>'総括表詳細（給付費H31）'!M4</f>
        <v>62599111</v>
      </c>
      <c r="L25" s="1016">
        <f>'総括表詳細（給付費H31）'!N4</f>
        <v>61412857</v>
      </c>
      <c r="M25" s="1016">
        <f>'総括表詳細（給付費H31）'!O4</f>
        <v>66013582</v>
      </c>
      <c r="N25" s="1016">
        <f>'総括表詳細（給付費H31）'!P4</f>
        <v>62654007</v>
      </c>
      <c r="O25" s="1145">
        <f>'総括表詳細（給付費H31）'!Q4</f>
        <v>63036601</v>
      </c>
      <c r="P25" s="1016">
        <f>'総括表詳細（給付費H31）'!R4</f>
        <v>64009571</v>
      </c>
      <c r="Q25" s="1017">
        <f>'総括表詳細（給付費H31）'!S4</f>
        <v>61256626</v>
      </c>
      <c r="R25" s="1216">
        <f>SUM(F25:Q25)</f>
        <v>755616725</v>
      </c>
      <c r="S25" s="1133">
        <v>720417000</v>
      </c>
      <c r="T25" s="1140"/>
      <c r="U25" s="1140"/>
    </row>
    <row r="26" spans="1:21" ht="15">
      <c r="A26" s="14"/>
      <c r="B26" s="4" t="s">
        <v>31</v>
      </c>
      <c r="C26" s="1213"/>
      <c r="D26" s="1213"/>
      <c r="E26" s="1213" t="s">
        <v>36</v>
      </c>
      <c r="F26" s="1014">
        <f>'総括表詳細（給付費H31）'!H9</f>
        <v>13562226</v>
      </c>
      <c r="G26" s="1015">
        <f>'総括表詳細（給付費H31）'!I9</f>
        <v>14094036</v>
      </c>
      <c r="H26" s="1015">
        <f>'総括表詳細（給付費H31）'!J9</f>
        <v>13849398</v>
      </c>
      <c r="I26" s="1016">
        <f>'総括表詳細（給付費H31）'!K9</f>
        <v>13234788</v>
      </c>
      <c r="J26" s="1016">
        <f>'総括表詳細（給付費H31）'!L9</f>
        <v>13903992</v>
      </c>
      <c r="K26" s="1016">
        <f>'総括表詳細（給付費H31）'!M9</f>
        <v>13708251</v>
      </c>
      <c r="L26" s="1016">
        <f>'総括表詳細（給付費H31）'!N9</f>
        <v>13196421</v>
      </c>
      <c r="M26" s="1016">
        <f>'総括表詳細（給付費H31）'!O9</f>
        <v>13915746</v>
      </c>
      <c r="N26" s="1016">
        <f>'総括表詳細（給付費H31）'!P9</f>
        <v>13682664</v>
      </c>
      <c r="O26" s="1145">
        <f>'総括表詳細（給付費H31）'!Q9</f>
        <v>13848633</v>
      </c>
      <c r="P26" s="1016">
        <f>'総括表詳細（給付費H31）'!R9</f>
        <v>13310253</v>
      </c>
      <c r="Q26" s="1017">
        <f>'総括表詳細（給付費H31）'!S9</f>
        <v>12300120</v>
      </c>
      <c r="R26" s="1216">
        <f>SUM(F26:Q26)</f>
        <v>162606528</v>
      </c>
      <c r="S26" s="1133">
        <v>172802000</v>
      </c>
      <c r="T26" s="1140"/>
      <c r="U26" s="1140"/>
    </row>
    <row r="27" spans="1:21" ht="15">
      <c r="A27" s="1214"/>
      <c r="B27" s="4" t="s">
        <v>1</v>
      </c>
      <c r="C27" s="1213"/>
      <c r="D27" s="1213"/>
      <c r="E27" s="1213" t="s">
        <v>36</v>
      </c>
      <c r="F27" s="1014">
        <f>'総括表詳細（給付費H31）'!H13</f>
        <v>81456862</v>
      </c>
      <c r="G27" s="1015">
        <f>'総括表詳細（給付費H31）'!I13</f>
        <v>79245695</v>
      </c>
      <c r="H27" s="1015">
        <f>'総括表詳細（給付費H31）'!J13</f>
        <v>80779783</v>
      </c>
      <c r="I27" s="1016">
        <f>'総括表詳細（給付費H31）'!K13</f>
        <v>79265110</v>
      </c>
      <c r="J27" s="1016">
        <f>'総括表詳細（給付費H31）'!L13</f>
        <v>82364712</v>
      </c>
      <c r="K27" s="1016">
        <f>'総括表詳細（給付費H31）'!M13</f>
        <v>80085281</v>
      </c>
      <c r="L27" s="1016">
        <f>'総括表詳細（給付費H31）'!N13</f>
        <v>79446905</v>
      </c>
      <c r="M27" s="1016">
        <f>'総括表詳細（給付費H31）'!O13</f>
        <v>85019848</v>
      </c>
      <c r="N27" s="1016">
        <f>'総括表詳細（給付費H31）'!P13</f>
        <v>81036726</v>
      </c>
      <c r="O27" s="1145">
        <f>'総括表詳細（給付費H31）'!Q13</f>
        <v>83144890</v>
      </c>
      <c r="P27" s="1016">
        <f>'総括表詳細（給付費H31）'!R13</f>
        <v>80738411</v>
      </c>
      <c r="Q27" s="1017">
        <f>'総括表詳細（給付費H31）'!S13</f>
        <v>78229481</v>
      </c>
      <c r="R27" s="1216">
        <f>SUM(F27:Q27)</f>
        <v>970813704</v>
      </c>
      <c r="S27" s="1133">
        <v>1153089000</v>
      </c>
      <c r="T27" s="1140"/>
      <c r="U27" s="1140"/>
    </row>
    <row r="28" spans="1:21" ht="15.75" thickBot="1">
      <c r="A28" s="42" t="s">
        <v>157</v>
      </c>
      <c r="B28" s="43"/>
      <c r="C28" s="43"/>
      <c r="D28" s="43"/>
      <c r="E28" s="43" t="s">
        <v>36</v>
      </c>
      <c r="F28" s="1020">
        <f>F24/F5</f>
        <v>24141.74702471773</v>
      </c>
      <c r="G28" s="1021">
        <f t="shared" ref="G28:Q28" si="9">G24/G5</f>
        <v>23726.885923440597</v>
      </c>
      <c r="H28" s="1021">
        <f t="shared" si="9"/>
        <v>24090.783734389279</v>
      </c>
      <c r="I28" s="1022">
        <f t="shared" si="9"/>
        <v>23522.083598846912</v>
      </c>
      <c r="J28" s="1022">
        <f t="shared" si="9"/>
        <v>24154.99120945741</v>
      </c>
      <c r="K28" s="1022">
        <f t="shared" si="9"/>
        <v>23728.211652253074</v>
      </c>
      <c r="L28" s="1022">
        <f t="shared" si="9"/>
        <v>23327.707904300423</v>
      </c>
      <c r="M28" s="1022">
        <f t="shared" si="9"/>
        <v>24969.599757795942</v>
      </c>
      <c r="N28" s="1022">
        <f t="shared" si="9"/>
        <v>23837.230687670402</v>
      </c>
      <c r="O28" s="1233">
        <f t="shared" si="9"/>
        <v>24192.006651549509</v>
      </c>
      <c r="P28" s="1022">
        <f t="shared" si="9"/>
        <v>23872.260232593264</v>
      </c>
      <c r="Q28" s="1023">
        <f t="shared" si="9"/>
        <v>22900.758449004225</v>
      </c>
      <c r="R28" s="1234">
        <f>R24/R5/12</f>
        <v>23884.045883275176</v>
      </c>
      <c r="S28" s="1134">
        <f>S24/S5/12</f>
        <v>25907.880076977613</v>
      </c>
      <c r="T28" s="1140"/>
      <c r="U28" s="1140"/>
    </row>
    <row r="29" spans="1:21" ht="15.75" thickBot="1">
      <c r="A29" s="40" t="s">
        <v>158</v>
      </c>
      <c r="B29" s="41"/>
      <c r="C29" s="41"/>
      <c r="D29" s="41"/>
      <c r="E29" s="41" t="s">
        <v>36</v>
      </c>
      <c r="F29" s="1084">
        <f>F24/F8</f>
        <v>156813.6868186323</v>
      </c>
      <c r="G29" s="1085">
        <f t="shared" ref="G29:Q29" si="10">G24/G8</f>
        <v>154649.29522862824</v>
      </c>
      <c r="H29" s="1085">
        <f t="shared" si="10"/>
        <v>157236.66600397613</v>
      </c>
      <c r="I29" s="1086">
        <f t="shared" si="10"/>
        <v>152292.78290766207</v>
      </c>
      <c r="J29" s="1086">
        <f t="shared" si="10"/>
        <v>156864.79527559056</v>
      </c>
      <c r="K29" s="1086">
        <f t="shared" si="10"/>
        <v>154233.37573964498</v>
      </c>
      <c r="L29" s="1086">
        <f t="shared" si="10"/>
        <v>151332.20333988211</v>
      </c>
      <c r="M29" s="1086">
        <f t="shared" si="10"/>
        <v>162191.91347099311</v>
      </c>
      <c r="N29" s="1086">
        <f t="shared" si="10"/>
        <v>155353.79763079961</v>
      </c>
      <c r="O29" s="1185">
        <f t="shared" si="10"/>
        <v>158917.70009930487</v>
      </c>
      <c r="P29" s="1086">
        <f t="shared" si="10"/>
        <v>158216.45145145146</v>
      </c>
      <c r="Q29" s="1087">
        <f t="shared" si="10"/>
        <v>151031.07164179106</v>
      </c>
      <c r="R29" s="1228">
        <f>R24/R8/12</f>
        <v>155246.29824128863</v>
      </c>
      <c r="S29" s="1186">
        <f>S24/S8/12</f>
        <v>134483.96424815981</v>
      </c>
      <c r="T29" s="1140"/>
      <c r="U29" s="1140"/>
    </row>
    <row r="30" spans="1:21" ht="15.75" thickBot="1">
      <c r="A30" s="1140"/>
      <c r="B30" s="1140"/>
      <c r="C30" s="1140"/>
      <c r="D30" s="1140"/>
      <c r="E30" s="1140"/>
      <c r="F30" s="1140"/>
      <c r="G30" s="1140"/>
      <c r="H30" s="1140"/>
      <c r="I30" s="1140"/>
      <c r="J30" s="1140"/>
      <c r="K30" s="1140"/>
      <c r="L30" s="1140"/>
      <c r="M30" s="1140"/>
      <c r="N30" s="1140"/>
      <c r="O30" s="1140"/>
      <c r="P30" s="1140"/>
      <c r="Q30" s="1140"/>
      <c r="R30" s="1140"/>
      <c r="S30" s="1140"/>
      <c r="T30" s="1140"/>
      <c r="U30" s="1140"/>
    </row>
    <row r="31" spans="1:21" ht="16.5" customHeight="1">
      <c r="A31" s="10"/>
      <c r="B31" s="11"/>
      <c r="C31" s="11"/>
      <c r="D31" s="11"/>
      <c r="E31" s="11"/>
      <c r="F31" s="1292" t="s">
        <v>70</v>
      </c>
      <c r="G31" s="1293"/>
      <c r="H31" s="1005"/>
      <c r="I31" s="1005"/>
      <c r="J31" s="1005"/>
      <c r="K31" s="1005"/>
      <c r="L31" s="1330"/>
      <c r="M31" s="1330"/>
      <c r="N31" s="1330"/>
      <c r="O31" s="1330"/>
      <c r="P31" s="1330"/>
      <c r="Q31" s="1330"/>
      <c r="R31" s="1330"/>
      <c r="S31" s="1330"/>
      <c r="T31" s="1140"/>
      <c r="U31" s="1140"/>
    </row>
    <row r="32" spans="1:21" ht="15.75" thickBot="1">
      <c r="A32" s="19"/>
      <c r="B32" s="20"/>
      <c r="C32" s="20"/>
      <c r="D32" s="20"/>
      <c r="E32" s="20"/>
      <c r="F32" s="1278" t="s">
        <v>131</v>
      </c>
      <c r="G32" s="1279"/>
      <c r="H32" s="59"/>
      <c r="I32" s="59"/>
      <c r="J32" s="59"/>
      <c r="K32" s="59"/>
      <c r="L32" s="94"/>
      <c r="M32" s="94"/>
      <c r="N32" s="94"/>
      <c r="O32" s="94"/>
      <c r="P32" s="94"/>
      <c r="Q32" s="94"/>
      <c r="R32" s="94"/>
      <c r="S32" s="94"/>
      <c r="T32" s="1140"/>
      <c r="U32" s="1140"/>
    </row>
    <row r="33" spans="1:21" ht="15.75" thickTop="1">
      <c r="A33" s="51" t="s">
        <v>80</v>
      </c>
      <c r="B33" s="28"/>
      <c r="C33" s="28"/>
      <c r="D33" s="28"/>
      <c r="E33" s="28" t="s">
        <v>37</v>
      </c>
      <c r="F33" s="1280">
        <f>R5/S5*100</f>
        <v>100.13673655423882</v>
      </c>
      <c r="G33" s="1281"/>
      <c r="H33" s="60"/>
      <c r="I33" s="61"/>
      <c r="J33" s="62"/>
      <c r="K33" s="63"/>
      <c r="L33" s="95"/>
      <c r="M33" s="96"/>
      <c r="N33" s="97"/>
      <c r="O33" s="98"/>
      <c r="P33" s="99"/>
      <c r="Q33" s="99"/>
      <c r="R33" s="99"/>
      <c r="S33" s="100"/>
      <c r="T33" s="1140"/>
      <c r="U33" s="1140"/>
    </row>
    <row r="34" spans="1:21" ht="15">
      <c r="A34" s="1212" t="s">
        <v>78</v>
      </c>
      <c r="B34" s="1213"/>
      <c r="C34" s="1213"/>
      <c r="D34" s="1213"/>
      <c r="E34" s="1213" t="s">
        <v>37</v>
      </c>
      <c r="F34" s="1331">
        <f>R8/S8*100</f>
        <v>79.968454258675081</v>
      </c>
      <c r="G34" s="1332"/>
      <c r="H34" s="64"/>
      <c r="I34" s="65"/>
      <c r="J34" s="66"/>
      <c r="K34" s="67"/>
      <c r="L34" s="101"/>
      <c r="M34" s="102"/>
      <c r="N34" s="103"/>
      <c r="O34" s="104"/>
      <c r="P34" s="105"/>
      <c r="Q34" s="105"/>
      <c r="R34" s="105"/>
      <c r="S34" s="106"/>
      <c r="T34" s="1140"/>
      <c r="U34" s="1140"/>
    </row>
    <row r="35" spans="1:21" ht="15">
      <c r="A35" s="1212" t="s">
        <v>79</v>
      </c>
      <c r="B35" s="1213"/>
      <c r="C35" s="1213"/>
      <c r="D35" s="1213"/>
      <c r="E35" s="1213" t="s">
        <v>43</v>
      </c>
      <c r="F35" s="1331">
        <f>R19/S19*100</f>
        <v>79.835299684542591</v>
      </c>
      <c r="G35" s="1332"/>
      <c r="H35" s="68"/>
      <c r="I35" s="69"/>
      <c r="J35" s="70"/>
      <c r="K35" s="71"/>
      <c r="L35" s="107"/>
      <c r="M35" s="108"/>
      <c r="N35" s="109"/>
      <c r="O35" s="110"/>
      <c r="P35" s="111"/>
      <c r="Q35" s="111"/>
      <c r="R35" s="111"/>
      <c r="S35" s="112"/>
      <c r="T35" s="1140"/>
      <c r="U35" s="1140"/>
    </row>
    <row r="36" spans="1:21" ht="15">
      <c r="A36" s="39" t="s">
        <v>0</v>
      </c>
      <c r="B36" s="1213"/>
      <c r="C36" s="1213"/>
      <c r="D36" s="1213"/>
      <c r="E36" s="1213" t="s">
        <v>36</v>
      </c>
      <c r="F36" s="1295">
        <f>R24/S24*100</f>
        <v>92.31440022714078</v>
      </c>
      <c r="G36" s="1296"/>
      <c r="H36" s="72"/>
      <c r="I36" s="73"/>
      <c r="J36" s="74"/>
      <c r="K36" s="75"/>
      <c r="L36" s="113"/>
      <c r="M36" s="114"/>
      <c r="N36" s="115"/>
      <c r="O36" s="116"/>
      <c r="P36" s="117"/>
      <c r="Q36" s="117"/>
      <c r="R36" s="117"/>
      <c r="S36" s="118"/>
      <c r="T36" s="1140"/>
      <c r="U36" s="1140"/>
    </row>
    <row r="37" spans="1:21" ht="15">
      <c r="A37" s="12"/>
      <c r="B37" s="4" t="s">
        <v>20</v>
      </c>
      <c r="C37" s="1213"/>
      <c r="D37" s="1213"/>
      <c r="E37" s="1213" t="s">
        <v>36</v>
      </c>
      <c r="F37" s="1295">
        <f t="shared" ref="F37:F39" si="11">R25/S25*100</f>
        <v>104.88602087402157</v>
      </c>
      <c r="G37" s="1296"/>
      <c r="H37" s="76"/>
      <c r="I37" s="77"/>
      <c r="J37" s="78"/>
      <c r="K37" s="79"/>
      <c r="L37" s="119"/>
      <c r="M37" s="120"/>
      <c r="N37" s="121"/>
      <c r="O37" s="122"/>
      <c r="P37" s="123"/>
      <c r="Q37" s="123"/>
      <c r="R37" s="123"/>
      <c r="S37" s="124"/>
      <c r="T37" s="1140"/>
      <c r="U37" s="1140"/>
    </row>
    <row r="38" spans="1:21" ht="15">
      <c r="A38" s="14"/>
      <c r="B38" s="4" t="s">
        <v>31</v>
      </c>
      <c r="C38" s="1213"/>
      <c r="D38" s="1213"/>
      <c r="E38" s="1213" t="s">
        <v>36</v>
      </c>
      <c r="F38" s="1295">
        <f t="shared" si="11"/>
        <v>94.099910880661113</v>
      </c>
      <c r="G38" s="1296"/>
      <c r="H38" s="80"/>
      <c r="I38" s="81"/>
      <c r="J38" s="82"/>
      <c r="K38" s="83"/>
      <c r="L38" s="125"/>
      <c r="M38" s="126"/>
      <c r="N38" s="127"/>
      <c r="O38" s="128"/>
      <c r="P38" s="129"/>
      <c r="Q38" s="129"/>
      <c r="R38" s="129"/>
      <c r="S38" s="130"/>
      <c r="T38" s="1140"/>
      <c r="U38" s="1140"/>
    </row>
    <row r="39" spans="1:21" ht="15">
      <c r="A39" s="1214"/>
      <c r="B39" s="4" t="s">
        <v>1</v>
      </c>
      <c r="C39" s="1213"/>
      <c r="D39" s="1213"/>
      <c r="E39" s="1213" t="s">
        <v>36</v>
      </c>
      <c r="F39" s="1295">
        <f t="shared" si="11"/>
        <v>84.192434755686691</v>
      </c>
      <c r="G39" s="1296"/>
      <c r="H39" s="84"/>
      <c r="I39" s="85"/>
      <c r="J39" s="86"/>
      <c r="K39" s="87"/>
      <c r="L39" s="131"/>
      <c r="M39" s="132"/>
      <c r="N39" s="133"/>
      <c r="O39" s="134"/>
      <c r="P39" s="135"/>
      <c r="Q39" s="135"/>
      <c r="R39" s="135"/>
      <c r="S39" s="136"/>
      <c r="T39" s="1140"/>
      <c r="U39" s="1140"/>
    </row>
    <row r="40" spans="1:21" ht="15">
      <c r="A40" s="1212" t="s">
        <v>159</v>
      </c>
      <c r="B40" s="1213"/>
      <c r="C40" s="1213"/>
      <c r="D40" s="1213"/>
      <c r="E40" s="1213" t="s">
        <v>36</v>
      </c>
      <c r="F40" s="1295">
        <f>R28/S28*100</f>
        <v>92.188345060694999</v>
      </c>
      <c r="G40" s="1296"/>
      <c r="H40" s="88"/>
      <c r="I40" s="89"/>
      <c r="J40" s="90"/>
      <c r="K40" s="91"/>
      <c r="L40" s="137"/>
      <c r="M40" s="138"/>
      <c r="N40" s="139"/>
      <c r="O40" s="140"/>
      <c r="P40" s="141"/>
      <c r="Q40" s="141"/>
      <c r="R40" s="141"/>
      <c r="S40" s="142"/>
      <c r="T40" s="1140"/>
      <c r="U40" s="1140"/>
    </row>
    <row r="41" spans="1:21" ht="15.75" thickBot="1">
      <c r="A41" s="40" t="s">
        <v>160</v>
      </c>
      <c r="B41" s="41"/>
      <c r="C41" s="41"/>
      <c r="D41" s="41"/>
      <c r="E41" s="41" t="s">
        <v>36</v>
      </c>
      <c r="F41" s="1297">
        <f>R29/S29*100</f>
        <v>115.43852020514254</v>
      </c>
      <c r="G41" s="1298"/>
      <c r="H41" s="88"/>
      <c r="I41" s="89"/>
      <c r="J41" s="90"/>
      <c r="K41" s="91"/>
      <c r="L41" s="137"/>
      <c r="M41" s="138"/>
      <c r="N41" s="139"/>
      <c r="O41" s="140"/>
      <c r="P41" s="141"/>
      <c r="Q41" s="141"/>
      <c r="R41" s="141"/>
      <c r="S41" s="142"/>
      <c r="T41" s="1140"/>
      <c r="U41" s="1140"/>
    </row>
    <row r="42" spans="1:21" ht="13.5" customHeight="1">
      <c r="A42" s="1140"/>
      <c r="B42" s="1140"/>
      <c r="C42" s="1140"/>
      <c r="D42" s="1140"/>
      <c r="E42" s="1140"/>
      <c r="F42" s="1140"/>
      <c r="G42" s="1140"/>
      <c r="H42" s="1140"/>
      <c r="I42" s="1140"/>
      <c r="J42" s="1140"/>
      <c r="K42" s="1140"/>
      <c r="L42" s="1140"/>
      <c r="M42" s="1140"/>
      <c r="N42" s="1140"/>
      <c r="O42" s="1140"/>
      <c r="P42" s="1140"/>
      <c r="Q42" s="1140"/>
      <c r="R42" s="1140"/>
      <c r="S42" s="1140"/>
      <c r="T42" s="1140"/>
      <c r="U42" s="1140"/>
    </row>
    <row r="43" spans="1:21" ht="15" customHeight="1">
      <c r="A43" s="1294" t="s">
        <v>187</v>
      </c>
      <c r="B43" s="1294"/>
      <c r="C43" s="1294"/>
      <c r="D43" s="1294"/>
      <c r="E43" s="1294"/>
      <c r="F43" s="1294"/>
      <c r="G43" s="1294"/>
      <c r="H43" s="1294"/>
      <c r="I43" s="1294"/>
      <c r="J43" s="1294"/>
      <c r="K43" s="1294"/>
      <c r="L43" s="1294"/>
      <c r="M43" s="1294"/>
      <c r="N43" s="1294"/>
      <c r="O43" s="1294"/>
      <c r="P43" s="1294"/>
      <c r="Q43" s="1294"/>
      <c r="R43" s="1294"/>
      <c r="S43" s="1294"/>
      <c r="T43" s="1140"/>
      <c r="U43" s="1140"/>
    </row>
    <row r="44" spans="1:21" ht="15">
      <c r="A44" s="1294"/>
      <c r="B44" s="1294"/>
      <c r="C44" s="1294"/>
      <c r="D44" s="1294"/>
      <c r="E44" s="1294"/>
      <c r="F44" s="1294"/>
      <c r="G44" s="1294"/>
      <c r="H44" s="1294"/>
      <c r="I44" s="1294"/>
      <c r="J44" s="1294"/>
      <c r="K44" s="1294"/>
      <c r="L44" s="1294"/>
      <c r="M44" s="1294"/>
      <c r="N44" s="1294"/>
      <c r="O44" s="1294"/>
      <c r="P44" s="1294"/>
      <c r="Q44" s="1294"/>
      <c r="R44" s="1294"/>
      <c r="S44" s="1294"/>
      <c r="T44" s="1140"/>
      <c r="U44" s="1140"/>
    </row>
    <row r="45" spans="1:21" ht="15">
      <c r="A45" s="1294"/>
      <c r="B45" s="1294"/>
      <c r="C45" s="1294"/>
      <c r="D45" s="1294"/>
      <c r="E45" s="1294"/>
      <c r="F45" s="1294"/>
      <c r="G45" s="1294"/>
      <c r="H45" s="1294"/>
      <c r="I45" s="1294"/>
      <c r="J45" s="1294"/>
      <c r="K45" s="1294"/>
      <c r="L45" s="1294"/>
      <c r="M45" s="1294"/>
      <c r="N45" s="1294"/>
      <c r="O45" s="1294"/>
      <c r="P45" s="1294"/>
      <c r="Q45" s="1294"/>
      <c r="R45" s="1294"/>
      <c r="S45" s="1294"/>
      <c r="T45" s="1140"/>
      <c r="U45" s="1140"/>
    </row>
    <row r="46" spans="1:21" ht="16.5" customHeight="1">
      <c r="A46" s="1294"/>
      <c r="B46" s="1294"/>
      <c r="C46" s="1294"/>
      <c r="D46" s="1294"/>
      <c r="E46" s="1294"/>
      <c r="F46" s="1294"/>
      <c r="G46" s="1294"/>
      <c r="H46" s="1294"/>
      <c r="I46" s="1294"/>
      <c r="J46" s="1294"/>
      <c r="K46" s="1294"/>
      <c r="L46" s="1294"/>
      <c r="M46" s="1294"/>
      <c r="N46" s="1294"/>
      <c r="O46" s="1294"/>
      <c r="P46" s="1294"/>
      <c r="Q46" s="1294"/>
      <c r="R46" s="1294"/>
      <c r="S46" s="1294"/>
      <c r="T46" s="1140"/>
      <c r="U46" s="1140"/>
    </row>
    <row r="47" spans="1:21" ht="16.5" customHeight="1">
      <c r="A47" s="1140"/>
      <c r="B47" s="1140"/>
      <c r="C47" s="1140"/>
      <c r="D47" s="1140"/>
      <c r="E47" s="1140"/>
      <c r="F47" s="1140"/>
      <c r="G47" s="1140"/>
      <c r="H47" s="1140"/>
      <c r="I47" s="1140"/>
      <c r="J47" s="1140"/>
      <c r="K47" s="1140"/>
      <c r="L47" s="1140"/>
      <c r="M47" s="1140"/>
      <c r="N47" s="1140"/>
      <c r="O47" s="1140"/>
      <c r="P47" s="1140"/>
      <c r="Q47" s="1140"/>
      <c r="R47" s="1140"/>
      <c r="S47" s="1140"/>
      <c r="T47" s="1140"/>
      <c r="U47" s="1140"/>
    </row>
    <row r="48" spans="1:21" ht="16.5" customHeight="1">
      <c r="A48" s="1140"/>
      <c r="B48" s="1140"/>
      <c r="C48" s="1140"/>
      <c r="D48" s="1140"/>
      <c r="E48" s="1140"/>
      <c r="F48" s="1140"/>
      <c r="G48" s="1140"/>
      <c r="H48" s="1140"/>
      <c r="I48" s="1140"/>
      <c r="J48" s="1140"/>
      <c r="K48" s="1140"/>
      <c r="L48" s="1140"/>
      <c r="M48" s="1140"/>
      <c r="N48" s="1140"/>
      <c r="O48" s="1140"/>
      <c r="P48" s="1140"/>
      <c r="Q48" s="1140"/>
      <c r="R48" s="1140"/>
      <c r="S48" s="1140"/>
      <c r="T48" s="1140"/>
      <c r="U48" s="1140"/>
    </row>
    <row r="49" spans="1:21" ht="16.5" customHeight="1">
      <c r="A49" s="1140"/>
      <c r="B49" s="1140"/>
      <c r="C49" s="1140"/>
      <c r="D49" s="1140"/>
      <c r="E49" s="1140"/>
      <c r="F49" s="1140"/>
      <c r="G49" s="1140"/>
      <c r="H49" s="1140"/>
      <c r="I49" s="1140"/>
      <c r="J49" s="1140"/>
      <c r="K49" s="1140"/>
      <c r="L49" s="1140"/>
      <c r="M49" s="1140"/>
      <c r="N49" s="1140"/>
      <c r="O49" s="1140"/>
      <c r="P49" s="1140"/>
      <c r="Q49" s="1140"/>
      <c r="R49" s="1140"/>
      <c r="S49" s="1140"/>
      <c r="T49" s="1140"/>
      <c r="U49" s="1140"/>
    </row>
    <row r="50" spans="1:21" ht="15">
      <c r="A50" s="1140"/>
      <c r="B50" s="1140"/>
      <c r="C50" s="1140"/>
      <c r="D50" s="1140"/>
      <c r="E50" s="1140"/>
      <c r="F50" s="1140"/>
      <c r="G50" s="1140"/>
      <c r="H50" s="1140"/>
      <c r="I50" s="1140"/>
      <c r="J50" s="1140"/>
      <c r="K50" s="1140"/>
      <c r="L50" s="1140"/>
      <c r="M50" s="1140"/>
      <c r="N50" s="1140"/>
      <c r="O50" s="1140"/>
      <c r="P50" s="1140"/>
      <c r="Q50" s="1140"/>
      <c r="R50" s="1140"/>
      <c r="S50" s="1140"/>
      <c r="T50" s="1140"/>
      <c r="U50" s="1140"/>
    </row>
    <row r="51" spans="1:21" ht="15">
      <c r="A51" s="1140"/>
      <c r="B51" s="1140"/>
      <c r="C51" s="1140"/>
      <c r="D51" s="1140"/>
      <c r="E51" s="1140"/>
      <c r="F51" s="1140"/>
      <c r="G51" s="1140"/>
      <c r="H51" s="1140"/>
      <c r="I51" s="1140"/>
      <c r="J51" s="1140"/>
      <c r="K51" s="1140"/>
      <c r="L51" s="1140"/>
      <c r="M51" s="1140"/>
      <c r="N51" s="1140"/>
      <c r="O51" s="1140"/>
      <c r="P51" s="1140"/>
      <c r="Q51" s="1140"/>
      <c r="R51" s="1140"/>
      <c r="S51" s="1140"/>
      <c r="T51" s="1140"/>
      <c r="U51" s="1140"/>
    </row>
    <row r="52" spans="1:21" ht="15">
      <c r="A52" s="1140"/>
      <c r="B52" s="1140"/>
      <c r="C52" s="1140"/>
      <c r="D52" s="1140"/>
      <c r="E52" s="1140"/>
      <c r="F52" s="1140"/>
      <c r="G52" s="1140"/>
      <c r="H52" s="1140"/>
      <c r="I52" s="1140"/>
      <c r="J52" s="1140"/>
      <c r="K52" s="1140"/>
      <c r="L52" s="1140"/>
      <c r="M52" s="1140"/>
      <c r="N52" s="1140"/>
      <c r="O52" s="1140"/>
      <c r="P52" s="1140"/>
      <c r="Q52" s="1140"/>
      <c r="R52" s="1140"/>
      <c r="S52" s="1140"/>
      <c r="T52" s="1140"/>
      <c r="U52" s="1140"/>
    </row>
    <row r="53" spans="1:21" ht="16.5" customHeight="1">
      <c r="A53" s="1140"/>
      <c r="B53" s="1140"/>
      <c r="C53" s="1140"/>
      <c r="D53" s="1140"/>
      <c r="E53" s="1140"/>
      <c r="F53" s="1140"/>
      <c r="G53" s="1140"/>
      <c r="H53" s="1140"/>
      <c r="I53" s="1140"/>
      <c r="J53" s="1140"/>
      <c r="K53" s="1140"/>
      <c r="L53" s="1140"/>
      <c r="M53" s="1140"/>
      <c r="N53" s="1140"/>
      <c r="O53" s="1140"/>
      <c r="P53" s="1140"/>
      <c r="Q53" s="1140"/>
      <c r="R53" s="1140"/>
      <c r="S53" s="1140"/>
      <c r="T53" s="1140"/>
      <c r="U53" s="1140"/>
    </row>
    <row r="54" spans="1:21" ht="15">
      <c r="A54" s="1140"/>
      <c r="B54" s="1140"/>
      <c r="C54" s="1140"/>
      <c r="D54" s="1140"/>
      <c r="E54" s="1140"/>
      <c r="F54" s="1140"/>
      <c r="G54" s="1140"/>
      <c r="H54" s="1140"/>
      <c r="I54" s="1140"/>
      <c r="J54" s="1140"/>
      <c r="K54" s="1140"/>
      <c r="L54" s="1140"/>
      <c r="M54" s="1140"/>
      <c r="N54" s="1140"/>
      <c r="O54" s="1140"/>
      <c r="P54" s="1140"/>
      <c r="Q54" s="1140"/>
      <c r="R54" s="1140"/>
      <c r="S54" s="1140"/>
      <c r="T54" s="1140"/>
      <c r="U54" s="1140"/>
    </row>
    <row r="55" spans="1:21" ht="15">
      <c r="A55" s="1140"/>
      <c r="B55" s="1140"/>
      <c r="C55" s="1140"/>
      <c r="D55" s="1140"/>
      <c r="E55" s="1140"/>
      <c r="F55" s="1140"/>
      <c r="G55" s="1140"/>
      <c r="H55" s="1140"/>
      <c r="I55" s="1140"/>
      <c r="J55" s="1140"/>
      <c r="K55" s="1140"/>
      <c r="L55" s="1140"/>
      <c r="M55" s="1140"/>
      <c r="N55" s="1140"/>
      <c r="O55" s="1140"/>
      <c r="P55" s="1140"/>
      <c r="Q55" s="1140"/>
      <c r="R55" s="1140"/>
      <c r="S55" s="1140"/>
      <c r="T55" s="1140"/>
      <c r="U55" s="1140"/>
    </row>
    <row r="56" spans="1:21" ht="15">
      <c r="A56" s="1140"/>
      <c r="B56" s="1140"/>
      <c r="C56" s="1140"/>
      <c r="D56" s="1140"/>
      <c r="E56" s="1140"/>
      <c r="F56" s="1140"/>
      <c r="G56" s="1140"/>
      <c r="H56" s="1140"/>
      <c r="I56" s="1140"/>
      <c r="J56" s="1140"/>
      <c r="K56" s="1140"/>
      <c r="L56" s="1140"/>
      <c r="M56" s="1140"/>
      <c r="N56" s="1140"/>
      <c r="O56" s="1140"/>
      <c r="P56" s="1140"/>
      <c r="Q56" s="1140"/>
      <c r="R56" s="1140"/>
      <c r="S56" s="1140"/>
      <c r="T56" s="1140"/>
      <c r="U56" s="1140"/>
    </row>
    <row r="57" spans="1:21" ht="15">
      <c r="A57" s="1140"/>
      <c r="B57" s="1140"/>
      <c r="C57" s="1140"/>
      <c r="D57" s="1140"/>
      <c r="E57" s="1140"/>
      <c r="F57" s="1140"/>
      <c r="G57" s="1140"/>
      <c r="H57" s="1140"/>
      <c r="I57" s="1140"/>
      <c r="J57" s="1140"/>
      <c r="K57" s="1140"/>
      <c r="L57" s="1140"/>
      <c r="M57" s="1140"/>
      <c r="N57" s="1140"/>
      <c r="O57" s="1140"/>
      <c r="P57" s="1140"/>
      <c r="Q57" s="1140"/>
      <c r="R57" s="1140"/>
      <c r="S57" s="1140"/>
      <c r="T57" s="1140"/>
      <c r="U57" s="1140"/>
    </row>
    <row r="58" spans="1:21" ht="15">
      <c r="A58" s="1140"/>
      <c r="B58" s="1140"/>
      <c r="C58" s="1140"/>
      <c r="D58" s="1140"/>
      <c r="E58" s="1140"/>
      <c r="F58" s="1140"/>
      <c r="G58" s="1140"/>
      <c r="H58" s="1140"/>
      <c r="I58" s="1140"/>
      <c r="J58" s="1140"/>
      <c r="K58" s="1140"/>
      <c r="L58" s="1140"/>
      <c r="M58" s="1140"/>
      <c r="N58" s="1140"/>
      <c r="O58" s="1140"/>
      <c r="P58" s="1140"/>
      <c r="Q58" s="1140"/>
      <c r="R58" s="1140"/>
      <c r="S58" s="1140"/>
      <c r="T58" s="1140"/>
      <c r="U58" s="1140"/>
    </row>
    <row r="59" spans="1:21" ht="15">
      <c r="A59" s="1140"/>
      <c r="B59" s="1140"/>
      <c r="C59" s="1140"/>
      <c r="D59" s="1140"/>
      <c r="E59" s="1140"/>
      <c r="F59" s="1140"/>
      <c r="G59" s="1140"/>
      <c r="H59" s="1140"/>
      <c r="I59" s="1140"/>
      <c r="J59" s="1140"/>
      <c r="K59" s="1140"/>
      <c r="L59" s="1140"/>
      <c r="M59" s="1140"/>
      <c r="N59" s="1140"/>
      <c r="O59" s="1140"/>
      <c r="P59" s="1140"/>
      <c r="Q59" s="1140"/>
      <c r="R59" s="1140"/>
      <c r="S59" s="1140"/>
      <c r="T59" s="1140"/>
      <c r="U59" s="1140"/>
    </row>
    <row r="60" spans="1:21" ht="15">
      <c r="A60" s="1140"/>
      <c r="B60" s="1140"/>
      <c r="C60" s="1140"/>
      <c r="D60" s="1140"/>
      <c r="E60" s="1140"/>
      <c r="F60" s="1140"/>
      <c r="G60" s="1140"/>
      <c r="H60" s="1140"/>
      <c r="I60" s="1140"/>
      <c r="J60" s="1140"/>
      <c r="K60" s="1140"/>
      <c r="L60" s="1140"/>
      <c r="M60" s="1140"/>
      <c r="N60" s="1140"/>
      <c r="O60" s="1140"/>
      <c r="P60" s="1140"/>
      <c r="Q60" s="1140"/>
      <c r="R60" s="1140"/>
      <c r="S60" s="1140"/>
      <c r="T60" s="1140"/>
      <c r="U60" s="1140"/>
    </row>
    <row r="61" spans="1:21" ht="15">
      <c r="A61" s="1140"/>
      <c r="B61" s="1140"/>
      <c r="C61" s="1140"/>
      <c r="D61" s="1140"/>
      <c r="E61" s="1140"/>
      <c r="F61" s="1140"/>
      <c r="G61" s="1140"/>
      <c r="H61" s="1140"/>
      <c r="I61" s="1140"/>
      <c r="J61" s="1140"/>
      <c r="K61" s="1140"/>
      <c r="L61" s="1140"/>
      <c r="M61" s="1140"/>
      <c r="N61" s="1140"/>
      <c r="O61" s="1140"/>
      <c r="P61" s="1140"/>
      <c r="Q61" s="1140"/>
      <c r="R61" s="1140"/>
      <c r="S61" s="1140"/>
      <c r="T61" s="1140"/>
      <c r="U61" s="1140"/>
    </row>
    <row r="62" spans="1:21" ht="15">
      <c r="A62" s="1140"/>
      <c r="B62" s="1140"/>
      <c r="C62" s="1140"/>
      <c r="D62" s="1140"/>
      <c r="E62" s="1140"/>
      <c r="F62" s="1140"/>
      <c r="G62" s="1140"/>
      <c r="H62" s="1140"/>
      <c r="I62" s="1140"/>
      <c r="J62" s="1140"/>
      <c r="K62" s="1140"/>
      <c r="L62" s="1140"/>
      <c r="M62" s="1140"/>
      <c r="N62" s="1140"/>
      <c r="O62" s="1140"/>
      <c r="P62" s="1140"/>
      <c r="Q62" s="1140"/>
      <c r="R62" s="1140"/>
      <c r="S62" s="1140"/>
      <c r="T62" s="1140"/>
      <c r="U62" s="1140"/>
    </row>
    <row r="63" spans="1:21" ht="15">
      <c r="A63" s="1140"/>
      <c r="B63" s="1140"/>
      <c r="C63" s="1140"/>
      <c r="D63" s="1140"/>
      <c r="E63" s="1140"/>
      <c r="F63" s="1140"/>
      <c r="G63" s="1140"/>
      <c r="H63" s="1140"/>
      <c r="I63" s="1140"/>
      <c r="J63" s="1140"/>
      <c r="K63" s="1140"/>
      <c r="L63" s="1140"/>
      <c r="M63" s="1140"/>
      <c r="N63" s="1140"/>
      <c r="O63" s="1140"/>
      <c r="P63" s="1140"/>
      <c r="Q63" s="1140"/>
      <c r="R63" s="1140"/>
      <c r="S63" s="1140"/>
      <c r="T63" s="1140"/>
      <c r="U63" s="1140"/>
    </row>
    <row r="64" spans="1:21" ht="15">
      <c r="A64" s="1140"/>
      <c r="B64" s="1140"/>
      <c r="C64" s="1140"/>
      <c r="D64" s="1140"/>
      <c r="E64" s="1140"/>
      <c r="F64" s="1140"/>
      <c r="G64" s="1140"/>
      <c r="H64" s="1140"/>
      <c r="I64" s="1140"/>
      <c r="J64" s="1140"/>
      <c r="K64" s="1140"/>
      <c r="L64" s="1140"/>
      <c r="M64" s="1140"/>
      <c r="N64" s="1140"/>
      <c r="O64" s="1140"/>
      <c r="P64" s="1140"/>
      <c r="Q64" s="1140"/>
      <c r="R64" s="1140"/>
      <c r="S64" s="1140"/>
      <c r="T64" s="1140"/>
      <c r="U64" s="1140"/>
    </row>
  </sheetData>
  <mergeCells count="17">
    <mergeCell ref="F38:G38"/>
    <mergeCell ref="F39:G39"/>
    <mergeCell ref="F40:G40"/>
    <mergeCell ref="F41:G41"/>
    <mergeCell ref="A43:S46"/>
    <mergeCell ref="F37:G37"/>
    <mergeCell ref="F2:R2"/>
    <mergeCell ref="A4:D4"/>
    <mergeCell ref="A7:D7"/>
    <mergeCell ref="A10:A17"/>
    <mergeCell ref="F31:G31"/>
    <mergeCell ref="L31:S31"/>
    <mergeCell ref="F32:G32"/>
    <mergeCell ref="F33:G33"/>
    <mergeCell ref="F34:G34"/>
    <mergeCell ref="F35:G35"/>
    <mergeCell ref="F36:G36"/>
  </mergeCells>
  <phoneticPr fontId="5"/>
  <pageMargins left="0.51181102362204722" right="0.51181102362204722" top="0.74803149606299213" bottom="0.74803149606299213" header="0.31496062992125984" footer="0.31496062992125984"/>
  <pageSetup paperSize="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1179B6-80E7-4E27-BAEE-4E2BE6EB418D}">
  <dimension ref="A1:U66"/>
  <sheetViews>
    <sheetView view="pageBreakPreview" topLeftCell="A49" zoomScaleNormal="100" zoomScaleSheetLayoutView="100" workbookViewId="0">
      <pane xSplit="7" topLeftCell="N1" activePane="topRight" state="frozen"/>
      <selection pane="topRight" activeCell="E29" sqref="A28:E29"/>
    </sheetView>
  </sheetViews>
  <sheetFormatPr defaultRowHeight="11.25"/>
  <cols>
    <col min="1" max="1" width="2.75" style="1" customWidth="1"/>
    <col min="2" max="3" width="6.625" style="1" customWidth="1"/>
    <col min="4" max="4" width="9.875" style="1" customWidth="1"/>
    <col min="5" max="5" width="11.625" style="1" customWidth="1"/>
    <col min="6" max="6" width="13.125" style="1" customWidth="1"/>
    <col min="7" max="7" width="6.125" style="1" customWidth="1"/>
    <col min="8" max="19" width="11" style="1" customWidth="1"/>
    <col min="20" max="21" width="12.125" style="1" customWidth="1"/>
    <col min="22" max="16384" width="9" style="1"/>
  </cols>
  <sheetData>
    <row r="1" spans="1:21" ht="29.25" customHeight="1" thickBot="1">
      <c r="A1" s="2" t="s">
        <v>123</v>
      </c>
      <c r="B1" s="1140"/>
      <c r="C1" s="1140"/>
      <c r="D1" s="1140"/>
      <c r="E1" s="1140"/>
      <c r="F1" s="1140"/>
      <c r="G1" s="1140"/>
      <c r="H1" s="1140"/>
      <c r="I1" s="1140"/>
      <c r="J1" s="1140"/>
      <c r="K1" s="1140"/>
      <c r="L1" s="1140"/>
      <c r="M1" s="1140"/>
      <c r="N1" s="1140"/>
      <c r="O1" s="1140"/>
      <c r="P1" s="1140"/>
      <c r="Q1" s="1140"/>
      <c r="R1" s="1140"/>
      <c r="S1" s="1140"/>
      <c r="T1" s="1140"/>
      <c r="U1" s="1140"/>
    </row>
    <row r="2" spans="1:21" ht="16.5" customHeight="1">
      <c r="A2" s="10"/>
      <c r="B2" s="11"/>
      <c r="C2" s="11"/>
      <c r="D2" s="11"/>
      <c r="E2" s="11"/>
      <c r="F2" s="11"/>
      <c r="G2" s="11"/>
      <c r="H2" s="1284" t="s">
        <v>74</v>
      </c>
      <c r="I2" s="1285"/>
      <c r="J2" s="1285"/>
      <c r="K2" s="1285"/>
      <c r="L2" s="1285"/>
      <c r="M2" s="1285"/>
      <c r="N2" s="1285"/>
      <c r="O2" s="1285"/>
      <c r="P2" s="1285"/>
      <c r="Q2" s="1285"/>
      <c r="R2" s="1285"/>
      <c r="S2" s="1285"/>
      <c r="T2" s="1311"/>
      <c r="U2" s="1130" t="s">
        <v>54</v>
      </c>
    </row>
    <row r="3" spans="1:21" ht="15.75" thickBot="1">
      <c r="A3" s="23"/>
      <c r="B3" s="24"/>
      <c r="C3" s="24"/>
      <c r="D3" s="24"/>
      <c r="E3" s="24"/>
      <c r="F3" s="24"/>
      <c r="G3" s="24"/>
      <c r="H3" s="1125" t="s">
        <v>109</v>
      </c>
      <c r="I3" s="1088" t="s">
        <v>110</v>
      </c>
      <c r="J3" s="1088" t="s">
        <v>111</v>
      </c>
      <c r="K3" s="1088" t="s">
        <v>112</v>
      </c>
      <c r="L3" s="1088" t="s">
        <v>113</v>
      </c>
      <c r="M3" s="1088" t="s">
        <v>114</v>
      </c>
      <c r="N3" s="1088" t="s">
        <v>115</v>
      </c>
      <c r="O3" s="1088" t="s">
        <v>116</v>
      </c>
      <c r="P3" s="1088" t="s">
        <v>117</v>
      </c>
      <c r="Q3" s="1088" t="s">
        <v>118</v>
      </c>
      <c r="R3" s="1088" t="s">
        <v>119</v>
      </c>
      <c r="S3" s="1088" t="s">
        <v>120</v>
      </c>
      <c r="T3" s="1089" t="s">
        <v>121</v>
      </c>
      <c r="U3" s="1131" t="s">
        <v>121</v>
      </c>
    </row>
    <row r="4" spans="1:21" ht="15">
      <c r="A4" s="1299" t="s">
        <v>20</v>
      </c>
      <c r="B4" s="1300"/>
      <c r="C4" s="1301"/>
      <c r="D4" s="1093" t="s">
        <v>16</v>
      </c>
      <c r="E4" s="1094"/>
      <c r="F4" s="1094"/>
      <c r="G4" s="1094" t="s">
        <v>37</v>
      </c>
      <c r="H4" s="1096">
        <f t="shared" ref="H4:J4" si="0">SUM(H5:H8)</f>
        <v>231</v>
      </c>
      <c r="I4" s="1097">
        <f t="shared" si="0"/>
        <v>234</v>
      </c>
      <c r="J4" s="1097">
        <f t="shared" si="0"/>
        <v>226</v>
      </c>
      <c r="K4" s="1098">
        <f>SUM(K5:K8)</f>
        <v>228</v>
      </c>
      <c r="L4" s="1098">
        <f t="shared" ref="L4:S4" si="1">SUM(L5:L8)</f>
        <v>227</v>
      </c>
      <c r="M4" s="1098">
        <f>SUM(M5:M8)</f>
        <v>222</v>
      </c>
      <c r="N4" s="1097">
        <f t="shared" si="1"/>
        <v>229</v>
      </c>
      <c r="O4" s="1097">
        <f t="shared" si="1"/>
        <v>231</v>
      </c>
      <c r="P4" s="1097">
        <f t="shared" si="1"/>
        <v>222</v>
      </c>
      <c r="Q4" s="1098">
        <f>SUM(Q5:Q8)</f>
        <v>222</v>
      </c>
      <c r="R4" s="1098">
        <f>SUM(R5:R8)</f>
        <v>226</v>
      </c>
      <c r="S4" s="1099">
        <f t="shared" si="1"/>
        <v>228</v>
      </c>
      <c r="T4" s="1099">
        <f>SUM(H4:S4)</f>
        <v>2726</v>
      </c>
      <c r="U4" s="1132">
        <f>SUM(U5:U8)</f>
        <v>2700</v>
      </c>
    </row>
    <row r="5" spans="1:21" ht="15">
      <c r="A5" s="1302"/>
      <c r="B5" s="1303"/>
      <c r="C5" s="1304"/>
      <c r="D5" s="49" t="s">
        <v>21</v>
      </c>
      <c r="E5" s="45"/>
      <c r="F5" s="45"/>
      <c r="G5" s="45" t="s">
        <v>37</v>
      </c>
      <c r="H5" s="1014">
        <v>93</v>
      </c>
      <c r="I5" s="1015">
        <v>96</v>
      </c>
      <c r="J5" s="1015">
        <v>95</v>
      </c>
      <c r="K5" s="1016">
        <v>99</v>
      </c>
      <c r="L5" s="1016">
        <v>99</v>
      </c>
      <c r="M5" s="1016">
        <v>96</v>
      </c>
      <c r="N5" s="1015">
        <v>98</v>
      </c>
      <c r="O5" s="1015">
        <v>99</v>
      </c>
      <c r="P5" s="1015">
        <v>95</v>
      </c>
      <c r="Q5" s="1015">
        <v>98</v>
      </c>
      <c r="R5" s="1016">
        <v>97</v>
      </c>
      <c r="S5" s="1017">
        <v>101</v>
      </c>
      <c r="T5" s="1017">
        <f>SUM(H5:S5)</f>
        <v>1166</v>
      </c>
      <c r="U5" s="1133">
        <v>1224</v>
      </c>
    </row>
    <row r="6" spans="1:21" ht="15">
      <c r="A6" s="1302"/>
      <c r="B6" s="1303"/>
      <c r="C6" s="1304"/>
      <c r="D6" s="4" t="s">
        <v>42</v>
      </c>
      <c r="E6" s="5"/>
      <c r="F6" s="5"/>
      <c r="G6" s="5" t="s">
        <v>37</v>
      </c>
      <c r="H6" s="1014">
        <v>62</v>
      </c>
      <c r="I6" s="1015">
        <v>57</v>
      </c>
      <c r="J6" s="1015">
        <v>55</v>
      </c>
      <c r="K6" s="1016">
        <v>59</v>
      </c>
      <c r="L6" s="1016">
        <v>56</v>
      </c>
      <c r="M6" s="1016">
        <v>60</v>
      </c>
      <c r="N6" s="1015">
        <v>59</v>
      </c>
      <c r="O6" s="1015">
        <v>61</v>
      </c>
      <c r="P6" s="1015">
        <v>58</v>
      </c>
      <c r="Q6" s="1015">
        <v>58</v>
      </c>
      <c r="R6" s="1016">
        <v>59</v>
      </c>
      <c r="S6" s="1017">
        <v>57</v>
      </c>
      <c r="T6" s="1017">
        <f t="shared" ref="T6:T32" si="2">SUM(H6:S6)</f>
        <v>701</v>
      </c>
      <c r="U6" s="1133">
        <v>732</v>
      </c>
    </row>
    <row r="7" spans="1:21" ht="15">
      <c r="A7" s="1302"/>
      <c r="B7" s="1303"/>
      <c r="C7" s="1304"/>
      <c r="D7" s="4" t="s">
        <v>22</v>
      </c>
      <c r="E7" s="5"/>
      <c r="F7" s="5"/>
      <c r="G7" s="5" t="s">
        <v>37</v>
      </c>
      <c r="H7" s="1014">
        <v>63</v>
      </c>
      <c r="I7" s="1015">
        <v>66</v>
      </c>
      <c r="J7" s="1015">
        <v>62</v>
      </c>
      <c r="K7" s="1016">
        <v>58</v>
      </c>
      <c r="L7" s="1016">
        <v>60</v>
      </c>
      <c r="M7" s="1016">
        <v>55</v>
      </c>
      <c r="N7" s="1015">
        <v>61</v>
      </c>
      <c r="O7" s="1015">
        <v>60</v>
      </c>
      <c r="P7" s="1015">
        <v>58</v>
      </c>
      <c r="Q7" s="1015">
        <v>54</v>
      </c>
      <c r="R7" s="1016">
        <v>59</v>
      </c>
      <c r="S7" s="1017">
        <v>58</v>
      </c>
      <c r="T7" s="1017">
        <f t="shared" si="2"/>
        <v>714</v>
      </c>
      <c r="U7" s="1133">
        <v>600</v>
      </c>
    </row>
    <row r="8" spans="1:21" ht="15.75" thickBot="1">
      <c r="A8" s="1305"/>
      <c r="B8" s="1306"/>
      <c r="C8" s="1307"/>
      <c r="D8" s="34" t="s">
        <v>23</v>
      </c>
      <c r="E8" s="43"/>
      <c r="F8" s="43"/>
      <c r="G8" s="43" t="s">
        <v>37</v>
      </c>
      <c r="H8" s="1020">
        <v>13</v>
      </c>
      <c r="I8" s="1021">
        <v>15</v>
      </c>
      <c r="J8" s="1021">
        <v>14</v>
      </c>
      <c r="K8" s="1022">
        <v>12</v>
      </c>
      <c r="L8" s="1022">
        <v>12</v>
      </c>
      <c r="M8" s="1022">
        <v>11</v>
      </c>
      <c r="N8" s="1021">
        <v>11</v>
      </c>
      <c r="O8" s="1021">
        <v>11</v>
      </c>
      <c r="P8" s="1021">
        <v>11</v>
      </c>
      <c r="Q8" s="1021">
        <v>12</v>
      </c>
      <c r="R8" s="1022">
        <v>11</v>
      </c>
      <c r="S8" s="1023">
        <v>12</v>
      </c>
      <c r="T8" s="1023">
        <f t="shared" si="2"/>
        <v>145</v>
      </c>
      <c r="U8" s="1134">
        <v>144</v>
      </c>
    </row>
    <row r="9" spans="1:21" ht="15">
      <c r="A9" s="1299" t="s">
        <v>2</v>
      </c>
      <c r="B9" s="1300"/>
      <c r="C9" s="1301"/>
      <c r="D9" s="1093" t="s">
        <v>16</v>
      </c>
      <c r="E9" s="1094"/>
      <c r="F9" s="1094"/>
      <c r="G9" s="1094" t="s">
        <v>37</v>
      </c>
      <c r="H9" s="1096">
        <f t="shared" ref="H9:J9" si="3">SUM(H10:H12)</f>
        <v>54</v>
      </c>
      <c r="I9" s="1097">
        <f t="shared" si="3"/>
        <v>58</v>
      </c>
      <c r="J9" s="1097">
        <f t="shared" si="3"/>
        <v>55</v>
      </c>
      <c r="K9" s="1098">
        <f>SUM(K10:K12)</f>
        <v>54</v>
      </c>
      <c r="L9" s="1098">
        <f t="shared" ref="L9:S9" si="4">SUM(L10:L12)</f>
        <v>54</v>
      </c>
      <c r="M9" s="1098">
        <f t="shared" si="4"/>
        <v>56</v>
      </c>
      <c r="N9" s="1097">
        <f t="shared" si="4"/>
        <v>54</v>
      </c>
      <c r="O9" s="1097">
        <f t="shared" si="4"/>
        <v>53</v>
      </c>
      <c r="P9" s="1097">
        <f t="shared" si="4"/>
        <v>56</v>
      </c>
      <c r="Q9" s="1098">
        <f>SUM(Q10:Q12)</f>
        <v>54</v>
      </c>
      <c r="R9" s="1098">
        <f>SUM(R10:R12)</f>
        <v>51</v>
      </c>
      <c r="S9" s="1099">
        <f t="shared" si="4"/>
        <v>53</v>
      </c>
      <c r="T9" s="1099">
        <f t="shared" si="2"/>
        <v>652</v>
      </c>
      <c r="U9" s="1132">
        <f>SUM(U10:U12)</f>
        <v>708</v>
      </c>
    </row>
    <row r="10" spans="1:21" ht="15">
      <c r="A10" s="1302"/>
      <c r="B10" s="1303"/>
      <c r="C10" s="1304"/>
      <c r="D10" s="4" t="s">
        <v>17</v>
      </c>
      <c r="E10" s="5"/>
      <c r="F10" s="5"/>
      <c r="G10" s="5" t="s">
        <v>37</v>
      </c>
      <c r="H10" s="1014">
        <v>2</v>
      </c>
      <c r="I10" s="1015">
        <v>2</v>
      </c>
      <c r="J10" s="1015">
        <v>1</v>
      </c>
      <c r="K10" s="1016">
        <v>1</v>
      </c>
      <c r="L10" s="1016">
        <v>1</v>
      </c>
      <c r="M10" s="1016">
        <v>1</v>
      </c>
      <c r="N10" s="1015">
        <v>1</v>
      </c>
      <c r="O10" s="1015">
        <v>1</v>
      </c>
      <c r="P10" s="1015">
        <v>1</v>
      </c>
      <c r="Q10" s="1015">
        <v>1</v>
      </c>
      <c r="R10" s="1016">
        <v>1</v>
      </c>
      <c r="S10" s="1017">
        <v>1</v>
      </c>
      <c r="T10" s="1017">
        <f t="shared" si="2"/>
        <v>14</v>
      </c>
      <c r="U10" s="1133">
        <v>24</v>
      </c>
    </row>
    <row r="11" spans="1:21" ht="15">
      <c r="A11" s="1302"/>
      <c r="B11" s="1303"/>
      <c r="C11" s="1304"/>
      <c r="D11" s="4" t="s">
        <v>19</v>
      </c>
      <c r="E11" s="5"/>
      <c r="F11" s="5"/>
      <c r="G11" s="5" t="s">
        <v>37</v>
      </c>
      <c r="H11" s="1014">
        <v>0</v>
      </c>
      <c r="I11" s="1015">
        <v>0</v>
      </c>
      <c r="J11" s="1015">
        <v>0</v>
      </c>
      <c r="K11" s="1016">
        <v>0</v>
      </c>
      <c r="L11" s="1016">
        <v>0</v>
      </c>
      <c r="M11" s="1016">
        <v>0</v>
      </c>
      <c r="N11" s="1015">
        <v>0</v>
      </c>
      <c r="O11" s="1015">
        <v>0</v>
      </c>
      <c r="P11" s="1015">
        <v>0</v>
      </c>
      <c r="Q11" s="1015">
        <v>0</v>
      </c>
      <c r="R11" s="1016">
        <v>0</v>
      </c>
      <c r="S11" s="1017">
        <v>0</v>
      </c>
      <c r="T11" s="1017">
        <f t="shared" si="2"/>
        <v>0</v>
      </c>
      <c r="U11" s="1133">
        <v>0</v>
      </c>
    </row>
    <row r="12" spans="1:21" ht="15.75" thickBot="1">
      <c r="A12" s="1305"/>
      <c r="B12" s="1306"/>
      <c r="C12" s="1307"/>
      <c r="D12" s="34" t="s">
        <v>18</v>
      </c>
      <c r="E12" s="43"/>
      <c r="F12" s="43"/>
      <c r="G12" s="43" t="s">
        <v>37</v>
      </c>
      <c r="H12" s="1020">
        <v>52</v>
      </c>
      <c r="I12" s="1021">
        <v>56</v>
      </c>
      <c r="J12" s="1021">
        <v>54</v>
      </c>
      <c r="K12" s="1022">
        <v>53</v>
      </c>
      <c r="L12" s="1022">
        <v>53</v>
      </c>
      <c r="M12" s="1022">
        <v>55</v>
      </c>
      <c r="N12" s="1021">
        <v>53</v>
      </c>
      <c r="O12" s="1021">
        <v>52</v>
      </c>
      <c r="P12" s="1021">
        <v>55</v>
      </c>
      <c r="Q12" s="1021">
        <v>53</v>
      </c>
      <c r="R12" s="1022">
        <v>50</v>
      </c>
      <c r="S12" s="1023">
        <f>50+2</f>
        <v>52</v>
      </c>
      <c r="T12" s="1023">
        <f t="shared" si="2"/>
        <v>638</v>
      </c>
      <c r="U12" s="1134">
        <v>684</v>
      </c>
    </row>
    <row r="13" spans="1:21" ht="15">
      <c r="A13" s="1150" t="s">
        <v>133</v>
      </c>
      <c r="B13" s="1151"/>
      <c r="C13" s="1152"/>
      <c r="D13" s="1093" t="s">
        <v>16</v>
      </c>
      <c r="E13" s="1094" t="s">
        <v>155</v>
      </c>
      <c r="F13" s="1094"/>
      <c r="G13" s="1094" t="s">
        <v>37</v>
      </c>
      <c r="H13" s="1097">
        <f>SUM(H14:H31)</f>
        <v>1364</v>
      </c>
      <c r="I13" s="1097">
        <f t="shared" ref="I13:T13" si="5">SUM(I14:I31)</f>
        <v>1369</v>
      </c>
      <c r="J13" s="1097">
        <f t="shared" si="5"/>
        <v>1370</v>
      </c>
      <c r="K13" s="1097">
        <f t="shared" si="5"/>
        <v>1368</v>
      </c>
      <c r="L13" s="1097">
        <f t="shared" si="5"/>
        <v>1380</v>
      </c>
      <c r="M13" s="1097">
        <f t="shared" si="5"/>
        <v>1378</v>
      </c>
      <c r="N13" s="1097">
        <f t="shared" si="5"/>
        <v>1382</v>
      </c>
      <c r="O13" s="1097">
        <f t="shared" si="5"/>
        <v>1384</v>
      </c>
      <c r="P13" s="1097">
        <f t="shared" si="5"/>
        <v>1347</v>
      </c>
      <c r="Q13" s="1097">
        <f t="shared" si="5"/>
        <v>1392</v>
      </c>
      <c r="R13" s="1097">
        <f>SUM(R14:R31)</f>
        <v>1363</v>
      </c>
      <c r="S13" s="1155">
        <f t="shared" si="5"/>
        <v>1337</v>
      </c>
      <c r="T13" s="1132">
        <f t="shared" si="5"/>
        <v>16434</v>
      </c>
      <c r="U13" s="1132">
        <f>SUM(U14:U31)</f>
        <v>18240</v>
      </c>
    </row>
    <row r="14" spans="1:21" ht="15">
      <c r="A14" s="29"/>
      <c r="B14" s="8"/>
      <c r="C14" s="9"/>
      <c r="D14" s="1100" t="s">
        <v>132</v>
      </c>
      <c r="E14" s="37"/>
      <c r="F14" s="37"/>
      <c r="G14" s="37" t="s">
        <v>37</v>
      </c>
      <c r="H14" s="1009">
        <v>186</v>
      </c>
      <c r="I14" s="1010">
        <v>190</v>
      </c>
      <c r="J14" s="1010">
        <v>190</v>
      </c>
      <c r="K14" s="1011">
        <v>190</v>
      </c>
      <c r="L14" s="1011">
        <v>186</v>
      </c>
      <c r="M14" s="1011">
        <v>187</v>
      </c>
      <c r="N14" s="1010">
        <v>187</v>
      </c>
      <c r="O14" s="1010">
        <v>182</v>
      </c>
      <c r="P14" s="1010">
        <v>185</v>
      </c>
      <c r="Q14" s="1010">
        <v>197</v>
      </c>
      <c r="R14" s="1011">
        <v>187</v>
      </c>
      <c r="S14" s="1079">
        <v>189</v>
      </c>
      <c r="T14" s="1013">
        <f t="shared" si="2"/>
        <v>2256</v>
      </c>
      <c r="U14" s="1135">
        <v>2688</v>
      </c>
    </row>
    <row r="15" spans="1:21" ht="15">
      <c r="A15" s="29"/>
      <c r="B15" s="8"/>
      <c r="C15" s="9"/>
      <c r="D15" s="4" t="s">
        <v>26</v>
      </c>
      <c r="E15" s="5"/>
      <c r="F15" s="5"/>
      <c r="G15" s="5" t="s">
        <v>37</v>
      </c>
      <c r="H15" s="1014">
        <v>12</v>
      </c>
      <c r="I15" s="1015">
        <v>13</v>
      </c>
      <c r="J15" s="1015">
        <v>12</v>
      </c>
      <c r="K15" s="1016">
        <v>13</v>
      </c>
      <c r="L15" s="1016">
        <v>12</v>
      </c>
      <c r="M15" s="1016">
        <v>13</v>
      </c>
      <c r="N15" s="1015">
        <v>17</v>
      </c>
      <c r="O15" s="1015">
        <v>13</v>
      </c>
      <c r="P15" s="1015">
        <v>13</v>
      </c>
      <c r="Q15" s="1015">
        <v>13</v>
      </c>
      <c r="R15" s="1016">
        <v>14</v>
      </c>
      <c r="S15" s="1017">
        <v>11</v>
      </c>
      <c r="T15" s="1017">
        <f t="shared" si="2"/>
        <v>156</v>
      </c>
      <c r="U15" s="1133">
        <v>300</v>
      </c>
    </row>
    <row r="16" spans="1:21" ht="15">
      <c r="A16" s="29"/>
      <c r="B16" s="8"/>
      <c r="C16" s="9"/>
      <c r="D16" s="4" t="s">
        <v>27</v>
      </c>
      <c r="E16" s="5"/>
      <c r="F16" s="5"/>
      <c r="G16" s="5" t="s">
        <v>37</v>
      </c>
      <c r="H16" s="1014">
        <v>73</v>
      </c>
      <c r="I16" s="1015">
        <v>74</v>
      </c>
      <c r="J16" s="1015">
        <v>76</v>
      </c>
      <c r="K16" s="1016">
        <v>82</v>
      </c>
      <c r="L16" s="1016">
        <v>79</v>
      </c>
      <c r="M16" s="1016">
        <v>84</v>
      </c>
      <c r="N16" s="1015">
        <v>84</v>
      </c>
      <c r="O16" s="1015">
        <v>88</v>
      </c>
      <c r="P16" s="1015">
        <f>79+6</f>
        <v>85</v>
      </c>
      <c r="Q16" s="1015">
        <f>75+6</f>
        <v>81</v>
      </c>
      <c r="R16" s="1016">
        <f>71+9</f>
        <v>80</v>
      </c>
      <c r="S16" s="1017">
        <f>69+9</f>
        <v>78</v>
      </c>
      <c r="T16" s="1017">
        <f t="shared" si="2"/>
        <v>964</v>
      </c>
      <c r="U16" s="1133">
        <v>1080</v>
      </c>
    </row>
    <row r="17" spans="1:21" ht="15">
      <c r="A17" s="29"/>
      <c r="B17" s="8"/>
      <c r="C17" s="9"/>
      <c r="D17" s="4" t="s">
        <v>28</v>
      </c>
      <c r="E17" s="5"/>
      <c r="F17" s="5"/>
      <c r="G17" s="5" t="s">
        <v>37</v>
      </c>
      <c r="H17" s="1014">
        <v>6</v>
      </c>
      <c r="I17" s="1015">
        <v>6</v>
      </c>
      <c r="J17" s="1015">
        <v>4</v>
      </c>
      <c r="K17" s="1016">
        <v>3</v>
      </c>
      <c r="L17" s="1016">
        <v>3</v>
      </c>
      <c r="M17" s="1016">
        <v>3</v>
      </c>
      <c r="N17" s="1015">
        <v>3</v>
      </c>
      <c r="O17" s="1015">
        <v>3</v>
      </c>
      <c r="P17" s="1015">
        <v>3</v>
      </c>
      <c r="Q17" s="1015">
        <v>4</v>
      </c>
      <c r="R17" s="1016">
        <v>4</v>
      </c>
      <c r="S17" s="1017">
        <f>4+1</f>
        <v>5</v>
      </c>
      <c r="T17" s="1017">
        <f t="shared" si="2"/>
        <v>47</v>
      </c>
      <c r="U17" s="1133">
        <v>36</v>
      </c>
    </row>
    <row r="18" spans="1:21" ht="15">
      <c r="A18" s="29"/>
      <c r="B18" s="8"/>
      <c r="C18" s="9"/>
      <c r="D18" s="4" t="s">
        <v>29</v>
      </c>
      <c r="E18" s="5"/>
      <c r="F18" s="5"/>
      <c r="G18" s="5" t="s">
        <v>37</v>
      </c>
      <c r="H18" s="1014">
        <v>98</v>
      </c>
      <c r="I18" s="1015">
        <v>94</v>
      </c>
      <c r="J18" s="1015">
        <v>99</v>
      </c>
      <c r="K18" s="1016">
        <v>95</v>
      </c>
      <c r="L18" s="1016">
        <v>98</v>
      </c>
      <c r="M18" s="1016">
        <v>97</v>
      </c>
      <c r="N18" s="1015">
        <v>105</v>
      </c>
      <c r="O18" s="1015">
        <v>91</v>
      </c>
      <c r="P18" s="1015">
        <f>81+5</f>
        <v>86</v>
      </c>
      <c r="Q18" s="1015">
        <v>106</v>
      </c>
      <c r="R18" s="1016">
        <f>85+7</f>
        <v>92</v>
      </c>
      <c r="S18" s="1017">
        <f>83+9</f>
        <v>92</v>
      </c>
      <c r="T18" s="1017">
        <f t="shared" si="2"/>
        <v>1153</v>
      </c>
      <c r="U18" s="1133">
        <v>792</v>
      </c>
    </row>
    <row r="19" spans="1:21" ht="15">
      <c r="A19" s="29"/>
      <c r="B19" s="8"/>
      <c r="C19" s="9"/>
      <c r="D19" s="4" t="s">
        <v>5</v>
      </c>
      <c r="E19" s="5"/>
      <c r="F19" s="5"/>
      <c r="G19" s="5" t="s">
        <v>37</v>
      </c>
      <c r="H19" s="1014">
        <v>381</v>
      </c>
      <c r="I19" s="1015">
        <v>386</v>
      </c>
      <c r="J19" s="1015">
        <v>381</v>
      </c>
      <c r="K19" s="1016">
        <v>393</v>
      </c>
      <c r="L19" s="1016">
        <v>386</v>
      </c>
      <c r="M19" s="1016">
        <v>385</v>
      </c>
      <c r="N19" s="1015">
        <v>388</v>
      </c>
      <c r="O19" s="1015">
        <v>389</v>
      </c>
      <c r="P19" s="1015">
        <v>379</v>
      </c>
      <c r="Q19" s="1015">
        <v>386</v>
      </c>
      <c r="R19" s="1016">
        <v>374</v>
      </c>
      <c r="S19" s="1017">
        <v>379</v>
      </c>
      <c r="T19" s="1017">
        <f t="shared" si="2"/>
        <v>4607</v>
      </c>
      <c r="U19" s="1133">
        <v>5076</v>
      </c>
    </row>
    <row r="20" spans="1:21" ht="15">
      <c r="A20" s="29"/>
      <c r="B20" s="8"/>
      <c r="C20" s="9"/>
      <c r="D20" s="4" t="s">
        <v>6</v>
      </c>
      <c r="E20" s="5"/>
      <c r="F20" s="5"/>
      <c r="G20" s="5" t="s">
        <v>37</v>
      </c>
      <c r="H20" s="1014">
        <v>4</v>
      </c>
      <c r="I20" s="1015">
        <v>4</v>
      </c>
      <c r="J20" s="1015">
        <v>4</v>
      </c>
      <c r="K20" s="1016">
        <v>3</v>
      </c>
      <c r="L20" s="1016">
        <v>4</v>
      </c>
      <c r="M20" s="1016">
        <v>5</v>
      </c>
      <c r="N20" s="1015">
        <v>4</v>
      </c>
      <c r="O20" s="1015">
        <v>4</v>
      </c>
      <c r="P20" s="1015">
        <v>3</v>
      </c>
      <c r="Q20" s="1015">
        <v>3</v>
      </c>
      <c r="R20" s="1126">
        <v>2</v>
      </c>
      <c r="S20" s="1211">
        <v>2</v>
      </c>
      <c r="T20" s="1017">
        <f t="shared" si="2"/>
        <v>42</v>
      </c>
      <c r="U20" s="1133">
        <v>72</v>
      </c>
    </row>
    <row r="21" spans="1:21" ht="15">
      <c r="A21" s="29"/>
      <c r="B21" s="8"/>
      <c r="C21" s="9"/>
      <c r="D21" s="4" t="s">
        <v>7</v>
      </c>
      <c r="E21" s="5"/>
      <c r="F21" s="5"/>
      <c r="G21" s="5" t="s">
        <v>37</v>
      </c>
      <c r="H21" s="1014">
        <v>107</v>
      </c>
      <c r="I21" s="1015">
        <v>110</v>
      </c>
      <c r="J21" s="1015">
        <v>113</v>
      </c>
      <c r="K21" s="1016">
        <v>109</v>
      </c>
      <c r="L21" s="1016">
        <v>113</v>
      </c>
      <c r="M21" s="1016">
        <v>114</v>
      </c>
      <c r="N21" s="1015">
        <v>111</v>
      </c>
      <c r="O21" s="1015">
        <v>109</v>
      </c>
      <c r="P21" s="1015">
        <f>78+29</f>
        <v>107</v>
      </c>
      <c r="Q21" s="1015">
        <f>87+31</f>
        <v>118</v>
      </c>
      <c r="R21" s="1016">
        <f>80+32</f>
        <v>112</v>
      </c>
      <c r="S21" s="1017">
        <f>79+32</f>
        <v>111</v>
      </c>
      <c r="T21" s="1017">
        <f t="shared" si="2"/>
        <v>1334</v>
      </c>
      <c r="U21" s="1133">
        <v>1560</v>
      </c>
    </row>
    <row r="22" spans="1:21" ht="15">
      <c r="A22" s="29"/>
      <c r="B22" s="8"/>
      <c r="C22" s="9"/>
      <c r="D22" s="4" t="s">
        <v>11</v>
      </c>
      <c r="E22" s="5"/>
      <c r="F22" s="5"/>
      <c r="G22" s="5" t="s">
        <v>37</v>
      </c>
      <c r="H22" s="1014">
        <v>94</v>
      </c>
      <c r="I22" s="1015">
        <v>90</v>
      </c>
      <c r="J22" s="1015">
        <v>92</v>
      </c>
      <c r="K22" s="1016">
        <v>85</v>
      </c>
      <c r="L22" s="1016">
        <v>100</v>
      </c>
      <c r="M22" s="1016">
        <v>92</v>
      </c>
      <c r="N22" s="1015">
        <v>81</v>
      </c>
      <c r="O22" s="1015">
        <v>91</v>
      </c>
      <c r="P22" s="1015">
        <f>88+2</f>
        <v>90</v>
      </c>
      <c r="Q22" s="1015">
        <f>92+2</f>
        <v>94</v>
      </c>
      <c r="R22" s="1016">
        <f>88+2</f>
        <v>90</v>
      </c>
      <c r="S22" s="1017">
        <v>85</v>
      </c>
      <c r="T22" s="1017">
        <f t="shared" si="2"/>
        <v>1084</v>
      </c>
      <c r="U22" s="1133">
        <v>1248</v>
      </c>
    </row>
    <row r="23" spans="1:21" ht="15">
      <c r="A23" s="29"/>
      <c r="B23" s="8"/>
      <c r="C23" s="9"/>
      <c r="D23" s="4" t="s">
        <v>129</v>
      </c>
      <c r="E23" s="5"/>
      <c r="F23" s="5"/>
      <c r="G23" s="5" t="s">
        <v>37</v>
      </c>
      <c r="H23" s="1014">
        <v>9</v>
      </c>
      <c r="I23" s="1015">
        <v>6</v>
      </c>
      <c r="J23" s="1015">
        <v>5</v>
      </c>
      <c r="K23" s="1016">
        <v>4</v>
      </c>
      <c r="L23" s="1016">
        <v>5</v>
      </c>
      <c r="M23" s="1016">
        <v>6</v>
      </c>
      <c r="N23" s="1015">
        <v>7</v>
      </c>
      <c r="O23" s="1015">
        <v>8</v>
      </c>
      <c r="P23" s="1015">
        <v>9</v>
      </c>
      <c r="Q23" s="1015">
        <v>7</v>
      </c>
      <c r="R23" s="1016">
        <v>6</v>
      </c>
      <c r="S23" s="1017">
        <v>6</v>
      </c>
      <c r="T23" s="1017">
        <f t="shared" si="2"/>
        <v>78</v>
      </c>
      <c r="U23" s="1133">
        <v>240</v>
      </c>
    </row>
    <row r="24" spans="1:21" ht="15">
      <c r="A24" s="29"/>
      <c r="B24" s="8"/>
      <c r="C24" s="9"/>
      <c r="D24" s="4" t="s">
        <v>14</v>
      </c>
      <c r="E24" s="5"/>
      <c r="F24" s="5"/>
      <c r="G24" s="5" t="s">
        <v>37</v>
      </c>
      <c r="H24" s="1014">
        <v>364</v>
      </c>
      <c r="I24" s="1015">
        <v>367</v>
      </c>
      <c r="J24" s="1015">
        <v>369</v>
      </c>
      <c r="K24" s="1016">
        <v>363</v>
      </c>
      <c r="L24" s="1016">
        <v>363</v>
      </c>
      <c r="M24" s="1016">
        <v>364</v>
      </c>
      <c r="N24" s="1015">
        <v>366</v>
      </c>
      <c r="O24" s="1015">
        <v>375</v>
      </c>
      <c r="P24" s="1015">
        <f>299+59</f>
        <v>358</v>
      </c>
      <c r="Q24" s="1015">
        <f>313+44</f>
        <v>357</v>
      </c>
      <c r="R24" s="1016">
        <f>305+70</f>
        <v>375</v>
      </c>
      <c r="S24" s="1017">
        <f>296+55</f>
        <v>351</v>
      </c>
      <c r="T24" s="1017">
        <f t="shared" si="2"/>
        <v>4372</v>
      </c>
      <c r="U24" s="1133">
        <v>4704</v>
      </c>
    </row>
    <row r="25" spans="1:21" ht="15">
      <c r="A25" s="29"/>
      <c r="B25" s="8"/>
      <c r="C25" s="9"/>
      <c r="D25" s="4" t="s">
        <v>33</v>
      </c>
      <c r="E25" s="5"/>
      <c r="F25" s="5"/>
      <c r="G25" s="5" t="s">
        <v>37</v>
      </c>
      <c r="H25" s="1014">
        <v>3</v>
      </c>
      <c r="I25" s="1015">
        <v>2</v>
      </c>
      <c r="J25" s="1015">
        <v>0</v>
      </c>
      <c r="K25" s="1016">
        <v>5</v>
      </c>
      <c r="L25" s="1016">
        <v>5</v>
      </c>
      <c r="M25" s="1016">
        <v>3</v>
      </c>
      <c r="N25" s="1015">
        <v>4</v>
      </c>
      <c r="O25" s="1015">
        <v>6</v>
      </c>
      <c r="P25" s="1015">
        <f>4+0</f>
        <v>4</v>
      </c>
      <c r="Q25" s="1015">
        <v>2</v>
      </c>
      <c r="R25" s="1016">
        <v>3</v>
      </c>
      <c r="S25" s="1017">
        <f>4+1</f>
        <v>5</v>
      </c>
      <c r="T25" s="1017">
        <f t="shared" si="2"/>
        <v>42</v>
      </c>
      <c r="U25" s="1133">
        <v>48</v>
      </c>
    </row>
    <row r="26" spans="1:21" ht="15">
      <c r="A26" s="29"/>
      <c r="B26" s="8"/>
      <c r="C26" s="9"/>
      <c r="D26" s="4" t="s">
        <v>34</v>
      </c>
      <c r="E26" s="5"/>
      <c r="F26" s="5"/>
      <c r="G26" s="5" t="s">
        <v>37</v>
      </c>
      <c r="H26" s="1014">
        <v>2</v>
      </c>
      <c r="I26" s="1015">
        <v>1</v>
      </c>
      <c r="J26" s="1015">
        <v>0</v>
      </c>
      <c r="K26" s="1016">
        <v>1</v>
      </c>
      <c r="L26" s="1016">
        <v>0</v>
      </c>
      <c r="M26" s="1016">
        <v>2</v>
      </c>
      <c r="N26" s="1015">
        <v>2</v>
      </c>
      <c r="O26" s="1015">
        <v>0</v>
      </c>
      <c r="P26" s="1015">
        <f>1</f>
        <v>1</v>
      </c>
      <c r="Q26" s="1015">
        <v>1</v>
      </c>
      <c r="R26" s="1016">
        <v>1</v>
      </c>
      <c r="S26" s="1017">
        <v>1</v>
      </c>
      <c r="T26" s="1017">
        <f t="shared" si="2"/>
        <v>12</v>
      </c>
      <c r="U26" s="1133">
        <v>12</v>
      </c>
    </row>
    <row r="27" spans="1:21" ht="15">
      <c r="A27" s="29"/>
      <c r="B27" s="8"/>
      <c r="C27" s="9"/>
      <c r="D27" s="4" t="s">
        <v>3</v>
      </c>
      <c r="E27" s="5"/>
      <c r="F27" s="5"/>
      <c r="G27" s="5" t="s">
        <v>37</v>
      </c>
      <c r="H27" s="1014">
        <v>0</v>
      </c>
      <c r="I27" s="1015">
        <v>0</v>
      </c>
      <c r="J27" s="1015">
        <v>0</v>
      </c>
      <c r="K27" s="1016">
        <v>0</v>
      </c>
      <c r="L27" s="1016">
        <v>0</v>
      </c>
      <c r="M27" s="1016">
        <v>0</v>
      </c>
      <c r="N27" s="1015">
        <v>0</v>
      </c>
      <c r="O27" s="1015">
        <v>0</v>
      </c>
      <c r="P27" s="1015">
        <v>0</v>
      </c>
      <c r="Q27" s="1015">
        <v>0</v>
      </c>
      <c r="R27" s="1016">
        <v>1</v>
      </c>
      <c r="S27" s="1017">
        <v>1</v>
      </c>
      <c r="T27" s="1017">
        <f t="shared" si="2"/>
        <v>2</v>
      </c>
      <c r="U27" s="1133">
        <v>0</v>
      </c>
    </row>
    <row r="28" spans="1:21" ht="15">
      <c r="A28" s="29"/>
      <c r="B28" s="8"/>
      <c r="C28" s="9"/>
      <c r="D28" s="4" t="s">
        <v>4</v>
      </c>
      <c r="E28" s="5"/>
      <c r="F28" s="5"/>
      <c r="G28" s="5" t="s">
        <v>37</v>
      </c>
      <c r="H28" s="1014">
        <v>0</v>
      </c>
      <c r="I28" s="1015">
        <v>0</v>
      </c>
      <c r="J28" s="1015">
        <v>0</v>
      </c>
      <c r="K28" s="1016">
        <v>0</v>
      </c>
      <c r="L28" s="1016">
        <v>0</v>
      </c>
      <c r="M28" s="1016">
        <v>0</v>
      </c>
      <c r="N28" s="1015">
        <v>0</v>
      </c>
      <c r="O28" s="1015">
        <v>0</v>
      </c>
      <c r="P28" s="1015">
        <v>0</v>
      </c>
      <c r="Q28" s="1015">
        <v>0</v>
      </c>
      <c r="R28" s="1016">
        <v>0</v>
      </c>
      <c r="S28" s="1017">
        <v>0</v>
      </c>
      <c r="T28" s="1017">
        <f t="shared" si="2"/>
        <v>0</v>
      </c>
      <c r="U28" s="1133">
        <v>0</v>
      </c>
    </row>
    <row r="29" spans="1:21" ht="15">
      <c r="A29" s="29"/>
      <c r="B29" s="8"/>
      <c r="C29" s="9"/>
      <c r="D29" s="4" t="s">
        <v>8</v>
      </c>
      <c r="E29" s="5"/>
      <c r="F29" s="5"/>
      <c r="G29" s="5" t="s">
        <v>37</v>
      </c>
      <c r="H29" s="1014">
        <v>25</v>
      </c>
      <c r="I29" s="1015">
        <v>26</v>
      </c>
      <c r="J29" s="1015">
        <v>25</v>
      </c>
      <c r="K29" s="1016">
        <v>22</v>
      </c>
      <c r="L29" s="1016">
        <v>26</v>
      </c>
      <c r="M29" s="1016">
        <v>23</v>
      </c>
      <c r="N29" s="1015">
        <v>23</v>
      </c>
      <c r="O29" s="1015">
        <v>25</v>
      </c>
      <c r="P29" s="1015">
        <v>24</v>
      </c>
      <c r="Q29" s="1015">
        <v>23</v>
      </c>
      <c r="R29" s="1016">
        <v>22</v>
      </c>
      <c r="S29" s="1017">
        <v>21</v>
      </c>
      <c r="T29" s="1017">
        <f t="shared" si="2"/>
        <v>285</v>
      </c>
      <c r="U29" s="1133">
        <v>384</v>
      </c>
    </row>
    <row r="30" spans="1:21" ht="15">
      <c r="A30" s="29"/>
      <c r="B30" s="8"/>
      <c r="C30" s="9"/>
      <c r="D30" s="4" t="s">
        <v>9</v>
      </c>
      <c r="E30" s="5"/>
      <c r="F30" s="5"/>
      <c r="G30" s="5" t="s">
        <v>37</v>
      </c>
      <c r="H30" s="1014">
        <v>0</v>
      </c>
      <c r="I30" s="1015">
        <v>0</v>
      </c>
      <c r="J30" s="1015">
        <v>0</v>
      </c>
      <c r="K30" s="1016">
        <v>0</v>
      </c>
      <c r="L30" s="1016">
        <v>0</v>
      </c>
      <c r="M30" s="1016">
        <v>0</v>
      </c>
      <c r="N30" s="1015">
        <v>0</v>
      </c>
      <c r="O30" s="1015">
        <v>0</v>
      </c>
      <c r="P30" s="1015">
        <v>0</v>
      </c>
      <c r="Q30" s="1015">
        <v>0</v>
      </c>
      <c r="R30" s="1016">
        <v>0</v>
      </c>
      <c r="S30" s="1017">
        <v>0</v>
      </c>
      <c r="T30" s="1017">
        <f t="shared" si="2"/>
        <v>0</v>
      </c>
      <c r="U30" s="1133">
        <v>0</v>
      </c>
    </row>
    <row r="31" spans="1:21" ht="15">
      <c r="A31" s="29"/>
      <c r="B31" s="8"/>
      <c r="C31" s="9"/>
      <c r="D31" s="4" t="s">
        <v>10</v>
      </c>
      <c r="E31" s="5"/>
      <c r="F31" s="5"/>
      <c r="G31" s="5" t="s">
        <v>37</v>
      </c>
      <c r="H31" s="1014">
        <v>0</v>
      </c>
      <c r="I31" s="1015">
        <v>0</v>
      </c>
      <c r="J31" s="1015">
        <v>0</v>
      </c>
      <c r="K31" s="1016">
        <v>0</v>
      </c>
      <c r="L31" s="1016">
        <v>0</v>
      </c>
      <c r="M31" s="1016">
        <v>0</v>
      </c>
      <c r="N31" s="1015">
        <v>0</v>
      </c>
      <c r="O31" s="1015">
        <v>0</v>
      </c>
      <c r="P31" s="1015">
        <v>0</v>
      </c>
      <c r="Q31" s="1015">
        <v>0</v>
      </c>
      <c r="R31" s="1016">
        <v>0</v>
      </c>
      <c r="S31" s="1017">
        <v>0</v>
      </c>
      <c r="T31" s="1017">
        <f t="shared" si="2"/>
        <v>0</v>
      </c>
      <c r="U31" s="1133">
        <v>0</v>
      </c>
    </row>
    <row r="32" spans="1:21" ht="15.75" thickBot="1">
      <c r="A32" s="31"/>
      <c r="B32" s="32"/>
      <c r="C32" s="33"/>
      <c r="D32" s="34" t="s">
        <v>15</v>
      </c>
      <c r="E32" s="43"/>
      <c r="F32" s="43"/>
      <c r="G32" s="43" t="s">
        <v>37</v>
      </c>
      <c r="H32" s="1020">
        <v>643</v>
      </c>
      <c r="I32" s="1021">
        <v>644</v>
      </c>
      <c r="J32" s="1021">
        <v>634</v>
      </c>
      <c r="K32" s="1022">
        <v>644</v>
      </c>
      <c r="L32" s="1022">
        <v>646</v>
      </c>
      <c r="M32" s="1022">
        <v>635</v>
      </c>
      <c r="N32" s="1021">
        <v>643</v>
      </c>
      <c r="O32" s="1021">
        <v>651</v>
      </c>
      <c r="P32" s="1021">
        <f>565+79</f>
        <v>644</v>
      </c>
      <c r="Q32" s="1021">
        <f>574+77</f>
        <v>651</v>
      </c>
      <c r="R32" s="1022">
        <f>564+79</f>
        <v>643</v>
      </c>
      <c r="S32" s="1023">
        <f>547+79</f>
        <v>626</v>
      </c>
      <c r="T32" s="1023">
        <f t="shared" si="2"/>
        <v>7704</v>
      </c>
      <c r="U32" s="1134">
        <v>8592</v>
      </c>
    </row>
    <row r="33" spans="1:21" ht="12" thickBot="1">
      <c r="H33" s="1148"/>
      <c r="L33" s="1148"/>
      <c r="M33" s="1148"/>
      <c r="N33" s="1148"/>
      <c r="O33" s="1148"/>
      <c r="P33" s="1148"/>
      <c r="Q33" s="1148"/>
      <c r="R33" s="1148"/>
      <c r="S33" s="1148"/>
      <c r="T33" s="1148"/>
      <c r="U33" s="1148"/>
    </row>
    <row r="34" spans="1:21" ht="15">
      <c r="A34" s="10"/>
      <c r="B34" s="11"/>
      <c r="C34" s="11"/>
      <c r="D34" s="11"/>
      <c r="E34" s="11"/>
      <c r="F34" s="11"/>
      <c r="G34" s="11"/>
      <c r="H34" s="1292" t="s">
        <v>70</v>
      </c>
      <c r="I34" s="1293"/>
      <c r="J34" s="1005"/>
      <c r="K34" s="1005"/>
      <c r="L34" s="1005"/>
      <c r="M34" s="1005"/>
      <c r="N34" s="1005"/>
      <c r="O34" s="1005"/>
      <c r="P34" s="1005"/>
      <c r="Q34" s="1005"/>
      <c r="R34" s="1005"/>
      <c r="S34" s="1142"/>
      <c r="T34" s="1143"/>
      <c r="U34" s="1235"/>
    </row>
    <row r="35" spans="1:21" ht="15.75" thickBot="1">
      <c r="A35" s="19"/>
      <c r="B35" s="20"/>
      <c r="C35" s="20"/>
      <c r="D35" s="20"/>
      <c r="E35" s="20"/>
      <c r="F35" s="20"/>
      <c r="G35" s="1122"/>
      <c r="H35" s="1278" t="s">
        <v>131</v>
      </c>
      <c r="I35" s="1279"/>
      <c r="J35" s="93"/>
      <c r="K35" s="93"/>
      <c r="L35" s="93"/>
      <c r="M35" s="93"/>
      <c r="N35" s="93"/>
      <c r="O35" s="93"/>
      <c r="P35" s="93"/>
      <c r="Q35" s="93"/>
      <c r="R35" s="93"/>
      <c r="S35" s="1154"/>
      <c r="T35" s="1236"/>
    </row>
    <row r="36" spans="1:21" ht="15.75" thickTop="1">
      <c r="A36" s="29" t="s">
        <v>20</v>
      </c>
      <c r="B36" s="8"/>
      <c r="C36" s="9"/>
      <c r="D36" s="1090" t="s">
        <v>16</v>
      </c>
      <c r="E36" s="1091"/>
      <c r="F36" s="1091"/>
      <c r="G36" s="1008" t="s">
        <v>37</v>
      </c>
      <c r="H36" s="1312">
        <f t="shared" ref="H36:H42" si="6">T4/U4*100</f>
        <v>100.96296296296296</v>
      </c>
      <c r="I36" s="1313"/>
      <c r="J36" s="152"/>
      <c r="K36" s="153"/>
      <c r="L36" s="154"/>
      <c r="M36" s="155"/>
      <c r="N36" s="145"/>
      <c r="O36" s="146"/>
      <c r="P36" s="147"/>
      <c r="Q36" s="149"/>
      <c r="R36" s="150"/>
      <c r="S36" s="151"/>
      <c r="T36" s="151"/>
      <c r="U36" s="151"/>
    </row>
    <row r="37" spans="1:21" ht="15">
      <c r="A37" s="29"/>
      <c r="B37" s="8"/>
      <c r="C37" s="9"/>
      <c r="D37" s="49" t="s">
        <v>21</v>
      </c>
      <c r="E37" s="45"/>
      <c r="F37" s="45"/>
      <c r="G37" s="46" t="s">
        <v>37</v>
      </c>
      <c r="H37" s="1308">
        <f>T5/U5*100</f>
        <v>95.261437908496731</v>
      </c>
      <c r="I37" s="1309"/>
      <c r="J37" s="164"/>
      <c r="K37" s="165"/>
      <c r="L37" s="166"/>
      <c r="M37" s="167"/>
      <c r="N37" s="157"/>
      <c r="O37" s="158"/>
      <c r="P37" s="159"/>
      <c r="Q37" s="161"/>
      <c r="R37" s="162"/>
      <c r="S37" s="163"/>
      <c r="T37" s="163"/>
      <c r="U37" s="163"/>
    </row>
    <row r="38" spans="1:21" ht="15">
      <c r="A38" s="29"/>
      <c r="B38" s="8"/>
      <c r="C38" s="9"/>
      <c r="D38" s="4" t="s">
        <v>42</v>
      </c>
      <c r="E38" s="5"/>
      <c r="F38" s="5"/>
      <c r="G38" s="13" t="s">
        <v>37</v>
      </c>
      <c r="H38" s="1308">
        <f t="shared" si="6"/>
        <v>95.765027322404379</v>
      </c>
      <c r="I38" s="1309"/>
      <c r="J38" s="176"/>
      <c r="K38" s="177"/>
      <c r="L38" s="178"/>
      <c r="M38" s="179"/>
      <c r="N38" s="169"/>
      <c r="O38" s="170"/>
      <c r="P38" s="171"/>
      <c r="Q38" s="173"/>
      <c r="R38" s="174"/>
      <c r="S38" s="175"/>
      <c r="T38" s="175"/>
      <c r="U38" s="175"/>
    </row>
    <row r="39" spans="1:21" ht="15">
      <c r="A39" s="29"/>
      <c r="B39" s="8"/>
      <c r="C39" s="9"/>
      <c r="D39" s="4" t="s">
        <v>22</v>
      </c>
      <c r="E39" s="5"/>
      <c r="F39" s="5"/>
      <c r="G39" s="13" t="s">
        <v>37</v>
      </c>
      <c r="H39" s="1308">
        <f t="shared" si="6"/>
        <v>119</v>
      </c>
      <c r="I39" s="1309"/>
      <c r="J39" s="188"/>
      <c r="K39" s="189"/>
      <c r="L39" s="190"/>
      <c r="M39" s="191"/>
      <c r="N39" s="181"/>
      <c r="O39" s="182"/>
      <c r="P39" s="183"/>
      <c r="Q39" s="185"/>
      <c r="R39" s="186"/>
      <c r="S39" s="187"/>
      <c r="T39" s="187"/>
      <c r="U39" s="187"/>
    </row>
    <row r="40" spans="1:21" ht="15">
      <c r="A40" s="29"/>
      <c r="B40" s="8"/>
      <c r="C40" s="9"/>
      <c r="D40" s="49" t="s">
        <v>23</v>
      </c>
      <c r="E40" s="36"/>
      <c r="F40" s="36"/>
      <c r="G40" s="50" t="s">
        <v>37</v>
      </c>
      <c r="H40" s="1308">
        <f t="shared" si="6"/>
        <v>100.69444444444444</v>
      </c>
      <c r="I40" s="1309"/>
      <c r="J40" s="200"/>
      <c r="K40" s="201"/>
      <c r="L40" s="202"/>
      <c r="M40" s="203"/>
      <c r="N40" s="193"/>
      <c r="O40" s="194"/>
      <c r="P40" s="195"/>
      <c r="Q40" s="197"/>
      <c r="R40" s="198"/>
      <c r="S40" s="199"/>
      <c r="T40" s="199"/>
      <c r="U40" s="199"/>
    </row>
    <row r="41" spans="1:21" ht="15">
      <c r="A41" s="30" t="s">
        <v>2</v>
      </c>
      <c r="B41" s="6"/>
      <c r="C41" s="7"/>
      <c r="D41" s="53" t="s">
        <v>16</v>
      </c>
      <c r="E41" s="54"/>
      <c r="F41" s="54"/>
      <c r="G41" s="56" t="s">
        <v>37</v>
      </c>
      <c r="H41" s="1316">
        <f t="shared" si="6"/>
        <v>92.090395480225979</v>
      </c>
      <c r="I41" s="1317"/>
      <c r="J41" s="212"/>
      <c r="K41" s="213"/>
      <c r="L41" s="214"/>
      <c r="M41" s="215"/>
      <c r="N41" s="205"/>
      <c r="O41" s="206"/>
      <c r="P41" s="207"/>
      <c r="Q41" s="209"/>
      <c r="R41" s="210"/>
      <c r="S41" s="211"/>
      <c r="T41" s="211"/>
      <c r="U41" s="211"/>
    </row>
    <row r="42" spans="1:21" ht="15">
      <c r="A42" s="29"/>
      <c r="B42" s="8"/>
      <c r="C42" s="9"/>
      <c r="D42" s="4" t="s">
        <v>17</v>
      </c>
      <c r="E42" s="5"/>
      <c r="F42" s="5"/>
      <c r="G42" s="13" t="s">
        <v>37</v>
      </c>
      <c r="H42" s="1308">
        <f t="shared" si="6"/>
        <v>58.333333333333336</v>
      </c>
      <c r="I42" s="1309"/>
      <c r="J42" s="224"/>
      <c r="K42" s="225"/>
      <c r="L42" s="226"/>
      <c r="M42" s="227"/>
      <c r="N42" s="217"/>
      <c r="O42" s="218"/>
      <c r="P42" s="219"/>
      <c r="Q42" s="221"/>
      <c r="R42" s="222"/>
      <c r="S42" s="223"/>
      <c r="T42" s="223"/>
      <c r="U42" s="223"/>
    </row>
    <row r="43" spans="1:21" ht="15">
      <c r="A43" s="29"/>
      <c r="B43" s="8"/>
      <c r="C43" s="9"/>
      <c r="D43" s="4" t="s">
        <v>19</v>
      </c>
      <c r="E43" s="5"/>
      <c r="F43" s="5"/>
      <c r="G43" s="13" t="s">
        <v>37</v>
      </c>
      <c r="H43" s="1310" t="s">
        <v>84</v>
      </c>
      <c r="I43" s="1309"/>
      <c r="J43" s="236"/>
      <c r="K43" s="237"/>
      <c r="L43" s="238"/>
      <c r="M43" s="239"/>
      <c r="N43" s="229"/>
      <c r="O43" s="230"/>
      <c r="P43" s="231"/>
      <c r="Q43" s="233"/>
      <c r="R43" s="234"/>
      <c r="S43" s="235"/>
      <c r="T43" s="235"/>
      <c r="U43" s="235"/>
    </row>
    <row r="44" spans="1:21" ht="15">
      <c r="A44" s="29"/>
      <c r="B44" s="8"/>
      <c r="C44" s="9"/>
      <c r="D44" s="49" t="s">
        <v>18</v>
      </c>
      <c r="E44" s="36"/>
      <c r="F44" s="36"/>
      <c r="G44" s="50" t="s">
        <v>37</v>
      </c>
      <c r="H44" s="1308">
        <f>T12/U12*100</f>
        <v>93.274853801169584</v>
      </c>
      <c r="I44" s="1309"/>
      <c r="J44" s="248"/>
      <c r="K44" s="249"/>
      <c r="L44" s="250"/>
      <c r="M44" s="251"/>
      <c r="N44" s="241"/>
      <c r="O44" s="242"/>
      <c r="P44" s="243"/>
      <c r="Q44" s="245"/>
      <c r="R44" s="246"/>
      <c r="S44" s="247"/>
      <c r="T44" s="247"/>
      <c r="U44" s="247"/>
    </row>
    <row r="45" spans="1:21" ht="15">
      <c r="A45" s="30" t="s">
        <v>1</v>
      </c>
      <c r="B45" s="6"/>
      <c r="C45" s="7"/>
      <c r="D45" s="4" t="s">
        <v>25</v>
      </c>
      <c r="E45" s="5"/>
      <c r="F45" s="5"/>
      <c r="G45" s="13" t="s">
        <v>37</v>
      </c>
      <c r="H45" s="1308">
        <f t="shared" ref="H45:H54" si="7">T14/U14*100</f>
        <v>83.928571428571431</v>
      </c>
      <c r="I45" s="1309"/>
      <c r="J45" s="260"/>
      <c r="K45" s="261"/>
      <c r="L45" s="262"/>
      <c r="M45" s="263"/>
      <c r="N45" s="253"/>
      <c r="O45" s="254"/>
      <c r="P45" s="255"/>
      <c r="Q45" s="257"/>
      <c r="R45" s="258"/>
      <c r="S45" s="259"/>
      <c r="T45" s="259"/>
      <c r="U45" s="259"/>
    </row>
    <row r="46" spans="1:21" ht="15">
      <c r="A46" s="29"/>
      <c r="B46" s="8"/>
      <c r="C46" s="9"/>
      <c r="D46" s="4" t="s">
        <v>26</v>
      </c>
      <c r="E46" s="5"/>
      <c r="F46" s="5"/>
      <c r="G46" s="13" t="s">
        <v>37</v>
      </c>
      <c r="H46" s="1308">
        <f t="shared" si="7"/>
        <v>52</v>
      </c>
      <c r="I46" s="1309"/>
      <c r="J46" s="272"/>
      <c r="K46" s="273"/>
      <c r="L46" s="274"/>
      <c r="M46" s="275"/>
      <c r="N46" s="265"/>
      <c r="O46" s="266"/>
      <c r="P46" s="267"/>
      <c r="Q46" s="269"/>
      <c r="R46" s="270"/>
      <c r="S46" s="271"/>
      <c r="T46" s="271"/>
      <c r="U46" s="271"/>
    </row>
    <row r="47" spans="1:21" ht="15">
      <c r="A47" s="29"/>
      <c r="B47" s="8"/>
      <c r="C47" s="9"/>
      <c r="D47" s="4" t="s">
        <v>27</v>
      </c>
      <c r="E47" s="5"/>
      <c r="F47" s="5"/>
      <c r="G47" s="13" t="s">
        <v>37</v>
      </c>
      <c r="H47" s="1308">
        <f t="shared" si="7"/>
        <v>89.259259259259267</v>
      </c>
      <c r="I47" s="1309"/>
      <c r="J47" s="284"/>
      <c r="K47" s="285"/>
      <c r="L47" s="286"/>
      <c r="M47" s="287"/>
      <c r="N47" s="277"/>
      <c r="O47" s="278"/>
      <c r="P47" s="279"/>
      <c r="Q47" s="281"/>
      <c r="R47" s="282"/>
      <c r="S47" s="283"/>
      <c r="T47" s="283"/>
      <c r="U47" s="283"/>
    </row>
    <row r="48" spans="1:21" ht="15">
      <c r="A48" s="29"/>
      <c r="B48" s="8"/>
      <c r="C48" s="9"/>
      <c r="D48" s="4" t="s">
        <v>28</v>
      </c>
      <c r="E48" s="5"/>
      <c r="F48" s="5"/>
      <c r="G48" s="13" t="s">
        <v>37</v>
      </c>
      <c r="H48" s="1308">
        <f t="shared" si="7"/>
        <v>130.55555555555557</v>
      </c>
      <c r="I48" s="1309"/>
      <c r="J48" s="296"/>
      <c r="K48" s="297"/>
      <c r="L48" s="298"/>
      <c r="M48" s="299"/>
      <c r="N48" s="289"/>
      <c r="O48" s="290"/>
      <c r="P48" s="291"/>
      <c r="Q48" s="293"/>
      <c r="R48" s="294"/>
      <c r="S48" s="295"/>
      <c r="T48" s="295"/>
      <c r="U48" s="295"/>
    </row>
    <row r="49" spans="1:21" ht="15">
      <c r="A49" s="29"/>
      <c r="B49" s="8"/>
      <c r="C49" s="9"/>
      <c r="D49" s="4" t="s">
        <v>29</v>
      </c>
      <c r="E49" s="5"/>
      <c r="F49" s="5"/>
      <c r="G49" s="13" t="s">
        <v>37</v>
      </c>
      <c r="H49" s="1308">
        <f t="shared" si="7"/>
        <v>145.58080808080808</v>
      </c>
      <c r="I49" s="1309"/>
      <c r="J49" s="308"/>
      <c r="K49" s="309"/>
      <c r="L49" s="310"/>
      <c r="M49" s="311"/>
      <c r="N49" s="301"/>
      <c r="O49" s="302"/>
      <c r="P49" s="303"/>
      <c r="Q49" s="305"/>
      <c r="R49" s="306"/>
      <c r="S49" s="307"/>
      <c r="T49" s="307"/>
      <c r="U49" s="307"/>
    </row>
    <row r="50" spans="1:21" ht="15">
      <c r="A50" s="29"/>
      <c r="B50" s="8"/>
      <c r="C50" s="9"/>
      <c r="D50" s="4" t="s">
        <v>5</v>
      </c>
      <c r="E50" s="5"/>
      <c r="F50" s="5"/>
      <c r="G50" s="13" t="s">
        <v>37</v>
      </c>
      <c r="H50" s="1308">
        <f t="shared" si="7"/>
        <v>90.760441292356191</v>
      </c>
      <c r="I50" s="1309"/>
      <c r="J50" s="320"/>
      <c r="K50" s="321"/>
      <c r="L50" s="322"/>
      <c r="M50" s="323"/>
      <c r="N50" s="313"/>
      <c r="O50" s="314"/>
      <c r="P50" s="315"/>
      <c r="Q50" s="317"/>
      <c r="R50" s="318"/>
      <c r="S50" s="319"/>
      <c r="T50" s="319"/>
      <c r="U50" s="319"/>
    </row>
    <row r="51" spans="1:21" ht="15">
      <c r="A51" s="29"/>
      <c r="B51" s="8"/>
      <c r="C51" s="9"/>
      <c r="D51" s="4" t="s">
        <v>6</v>
      </c>
      <c r="E51" s="5"/>
      <c r="F51" s="5"/>
      <c r="G51" s="13" t="s">
        <v>37</v>
      </c>
      <c r="H51" s="1308">
        <f t="shared" si="7"/>
        <v>58.333333333333336</v>
      </c>
      <c r="I51" s="1309"/>
      <c r="J51" s="332"/>
      <c r="K51" s="333"/>
      <c r="L51" s="334"/>
      <c r="M51" s="335"/>
      <c r="N51" s="325"/>
      <c r="O51" s="326"/>
      <c r="P51" s="327"/>
      <c r="Q51" s="329"/>
      <c r="R51" s="330"/>
      <c r="S51" s="331"/>
      <c r="T51" s="331"/>
      <c r="U51" s="331"/>
    </row>
    <row r="52" spans="1:21" ht="15">
      <c r="A52" s="29"/>
      <c r="B52" s="8"/>
      <c r="C52" s="9"/>
      <c r="D52" s="4" t="s">
        <v>7</v>
      </c>
      <c r="E52" s="5"/>
      <c r="F52" s="5"/>
      <c r="G52" s="13" t="s">
        <v>37</v>
      </c>
      <c r="H52" s="1308">
        <f t="shared" si="7"/>
        <v>85.512820512820511</v>
      </c>
      <c r="I52" s="1309"/>
      <c r="J52" s="344"/>
      <c r="K52" s="345"/>
      <c r="L52" s="346"/>
      <c r="M52" s="347"/>
      <c r="N52" s="337"/>
      <c r="O52" s="338"/>
      <c r="P52" s="339"/>
      <c r="Q52" s="341"/>
      <c r="R52" s="342"/>
      <c r="S52" s="343"/>
      <c r="T52" s="343"/>
      <c r="U52" s="343"/>
    </row>
    <row r="53" spans="1:21" ht="15">
      <c r="A53" s="29"/>
      <c r="B53" s="8"/>
      <c r="C53" s="9"/>
      <c r="D53" s="4" t="s">
        <v>11</v>
      </c>
      <c r="E53" s="5"/>
      <c r="F53" s="5"/>
      <c r="G53" s="13" t="s">
        <v>37</v>
      </c>
      <c r="H53" s="1308">
        <f t="shared" si="7"/>
        <v>86.858974358974365</v>
      </c>
      <c r="I53" s="1309"/>
      <c r="J53" s="356"/>
      <c r="K53" s="357"/>
      <c r="L53" s="358"/>
      <c r="M53" s="359"/>
      <c r="N53" s="349"/>
      <c r="O53" s="350"/>
      <c r="P53" s="351"/>
      <c r="Q53" s="353"/>
      <c r="R53" s="354"/>
      <c r="S53" s="355"/>
      <c r="T53" s="355"/>
      <c r="U53" s="355"/>
    </row>
    <row r="54" spans="1:21" ht="15">
      <c r="A54" s="29"/>
      <c r="B54" s="8"/>
      <c r="C54" s="9"/>
      <c r="D54" s="4" t="s">
        <v>12</v>
      </c>
      <c r="E54" s="5"/>
      <c r="F54" s="5"/>
      <c r="G54" s="13" t="s">
        <v>37</v>
      </c>
      <c r="H54" s="1308">
        <f t="shared" si="7"/>
        <v>32.5</v>
      </c>
      <c r="I54" s="1309"/>
      <c r="J54" s="368"/>
      <c r="K54" s="369"/>
      <c r="L54" s="370"/>
      <c r="M54" s="371"/>
      <c r="N54" s="361"/>
      <c r="O54" s="362"/>
      <c r="P54" s="363"/>
      <c r="Q54" s="365"/>
      <c r="R54" s="366"/>
      <c r="S54" s="367"/>
      <c r="T54" s="367"/>
      <c r="U54" s="367"/>
    </row>
    <row r="55" spans="1:21" ht="15">
      <c r="A55" s="29"/>
      <c r="B55" s="8"/>
      <c r="C55" s="9"/>
      <c r="D55" s="4" t="s">
        <v>13</v>
      </c>
      <c r="E55" s="5"/>
      <c r="F55" s="5"/>
      <c r="G55" s="13" t="s">
        <v>37</v>
      </c>
      <c r="H55" s="1310" t="s">
        <v>84</v>
      </c>
      <c r="I55" s="1309"/>
      <c r="J55" s="380"/>
      <c r="K55" s="381"/>
      <c r="L55" s="382"/>
      <c r="M55" s="383"/>
      <c r="N55" s="373"/>
      <c r="O55" s="374"/>
      <c r="P55" s="375"/>
      <c r="Q55" s="377"/>
      <c r="R55" s="378"/>
      <c r="S55" s="379"/>
      <c r="T55" s="379"/>
      <c r="U55" s="379"/>
    </row>
    <row r="56" spans="1:21" ht="15">
      <c r="A56" s="29"/>
      <c r="B56" s="8"/>
      <c r="C56" s="9"/>
      <c r="D56" s="4" t="s">
        <v>14</v>
      </c>
      <c r="E56" s="5"/>
      <c r="F56" s="5"/>
      <c r="G56" s="13" t="s">
        <v>37</v>
      </c>
      <c r="H56" s="1308">
        <f t="shared" ref="H56:H64" si="8">T24/U24*100</f>
        <v>92.942176870748298</v>
      </c>
      <c r="I56" s="1309"/>
      <c r="J56" s="392"/>
      <c r="K56" s="393"/>
      <c r="L56" s="394"/>
      <c r="M56" s="395"/>
      <c r="N56" s="385"/>
      <c r="O56" s="386"/>
      <c r="P56" s="387"/>
      <c r="Q56" s="389"/>
      <c r="R56" s="390"/>
      <c r="S56" s="391"/>
      <c r="T56" s="391"/>
      <c r="U56" s="391"/>
    </row>
    <row r="57" spans="1:21" ht="15">
      <c r="A57" s="29"/>
      <c r="B57" s="8"/>
      <c r="C57" s="9"/>
      <c r="D57" s="4" t="s">
        <v>33</v>
      </c>
      <c r="E57" s="5"/>
      <c r="F57" s="5"/>
      <c r="G57" s="13" t="s">
        <v>37</v>
      </c>
      <c r="H57" s="1308">
        <f t="shared" si="8"/>
        <v>87.5</v>
      </c>
      <c r="I57" s="1309"/>
      <c r="J57" s="404"/>
      <c r="K57" s="405"/>
      <c r="L57" s="406"/>
      <c r="M57" s="407"/>
      <c r="N57" s="397"/>
      <c r="O57" s="398"/>
      <c r="P57" s="399"/>
      <c r="Q57" s="401"/>
      <c r="R57" s="402"/>
      <c r="S57" s="403"/>
      <c r="T57" s="403"/>
      <c r="U57" s="403"/>
    </row>
    <row r="58" spans="1:21" ht="15">
      <c r="A58" s="29"/>
      <c r="B58" s="8"/>
      <c r="C58" s="9"/>
      <c r="D58" s="4" t="s">
        <v>34</v>
      </c>
      <c r="E58" s="5"/>
      <c r="F58" s="5"/>
      <c r="G58" s="13" t="s">
        <v>37</v>
      </c>
      <c r="H58" s="1308">
        <f t="shared" si="8"/>
        <v>100</v>
      </c>
      <c r="I58" s="1309"/>
      <c r="J58" s="416"/>
      <c r="K58" s="417"/>
      <c r="L58" s="418"/>
      <c r="M58" s="419"/>
      <c r="N58" s="409"/>
      <c r="O58" s="410"/>
      <c r="P58" s="411"/>
      <c r="Q58" s="413"/>
      <c r="R58" s="414"/>
      <c r="S58" s="415"/>
      <c r="T58" s="415"/>
      <c r="U58" s="415"/>
    </row>
    <row r="59" spans="1:21" ht="15">
      <c r="A59" s="29"/>
      <c r="B59" s="8"/>
      <c r="C59" s="9"/>
      <c r="D59" s="4" t="s">
        <v>3</v>
      </c>
      <c r="E59" s="5"/>
      <c r="F59" s="5"/>
      <c r="G59" s="13" t="s">
        <v>37</v>
      </c>
      <c r="H59" s="1310" t="s">
        <v>84</v>
      </c>
      <c r="I59" s="1309"/>
      <c r="J59" s="428"/>
      <c r="K59" s="429"/>
      <c r="L59" s="430"/>
      <c r="M59" s="431"/>
      <c r="N59" s="421"/>
      <c r="O59" s="422"/>
      <c r="P59" s="423"/>
      <c r="Q59" s="425"/>
      <c r="R59" s="426"/>
      <c r="S59" s="427"/>
      <c r="T59" s="427"/>
      <c r="U59" s="427"/>
    </row>
    <row r="60" spans="1:21" ht="15">
      <c r="A60" s="29"/>
      <c r="B60" s="8"/>
      <c r="C60" s="9"/>
      <c r="D60" s="4" t="s">
        <v>4</v>
      </c>
      <c r="E60" s="5"/>
      <c r="F60" s="5"/>
      <c r="G60" s="13" t="s">
        <v>37</v>
      </c>
      <c r="H60" s="1310" t="s">
        <v>84</v>
      </c>
      <c r="I60" s="1309"/>
      <c r="J60" s="440"/>
      <c r="K60" s="441"/>
      <c r="L60" s="442"/>
      <c r="M60" s="443"/>
      <c r="N60" s="433"/>
      <c r="O60" s="434"/>
      <c r="P60" s="435"/>
      <c r="Q60" s="437"/>
      <c r="R60" s="438"/>
      <c r="S60" s="439"/>
      <c r="T60" s="439"/>
      <c r="U60" s="439"/>
    </row>
    <row r="61" spans="1:21" ht="15">
      <c r="A61" s="29"/>
      <c r="B61" s="8"/>
      <c r="C61" s="9"/>
      <c r="D61" s="4" t="s">
        <v>8</v>
      </c>
      <c r="E61" s="5"/>
      <c r="F61" s="5"/>
      <c r="G61" s="13" t="s">
        <v>37</v>
      </c>
      <c r="H61" s="1308">
        <f t="shared" si="8"/>
        <v>74.21875</v>
      </c>
      <c r="I61" s="1309"/>
      <c r="J61" s="452"/>
      <c r="K61" s="453"/>
      <c r="L61" s="454"/>
      <c r="M61" s="455"/>
      <c r="N61" s="445"/>
      <c r="O61" s="446"/>
      <c r="P61" s="447"/>
      <c r="Q61" s="449"/>
      <c r="R61" s="450"/>
      <c r="S61" s="451"/>
      <c r="T61" s="451"/>
      <c r="U61" s="451"/>
    </row>
    <row r="62" spans="1:21" ht="15">
      <c r="A62" s="29"/>
      <c r="B62" s="8"/>
      <c r="C62" s="9"/>
      <c r="D62" s="4" t="s">
        <v>9</v>
      </c>
      <c r="E62" s="5"/>
      <c r="F62" s="5"/>
      <c r="G62" s="13" t="s">
        <v>37</v>
      </c>
      <c r="H62" s="1310" t="s">
        <v>84</v>
      </c>
      <c r="I62" s="1309"/>
      <c r="J62" s="464"/>
      <c r="K62" s="465"/>
      <c r="L62" s="466"/>
      <c r="M62" s="467"/>
      <c r="N62" s="457"/>
      <c r="O62" s="458"/>
      <c r="P62" s="459"/>
      <c r="Q62" s="461"/>
      <c r="R62" s="462"/>
      <c r="S62" s="463"/>
      <c r="T62" s="463"/>
      <c r="U62" s="463"/>
    </row>
    <row r="63" spans="1:21" ht="15">
      <c r="A63" s="29"/>
      <c r="B63" s="8"/>
      <c r="C63" s="9"/>
      <c r="D63" s="4" t="s">
        <v>10</v>
      </c>
      <c r="E63" s="5"/>
      <c r="F63" s="5"/>
      <c r="G63" s="13" t="s">
        <v>37</v>
      </c>
      <c r="H63" s="1310" t="s">
        <v>84</v>
      </c>
      <c r="I63" s="1309"/>
      <c r="J63" s="476"/>
      <c r="K63" s="477"/>
      <c r="L63" s="478"/>
      <c r="M63" s="479"/>
      <c r="N63" s="469"/>
      <c r="O63" s="470"/>
      <c r="P63" s="471"/>
      <c r="Q63" s="473"/>
      <c r="R63" s="474"/>
      <c r="S63" s="475"/>
      <c r="T63" s="475"/>
      <c r="U63" s="475"/>
    </row>
    <row r="64" spans="1:21" ht="15.75" thickBot="1">
      <c r="A64" s="31"/>
      <c r="B64" s="32"/>
      <c r="C64" s="33"/>
      <c r="D64" s="34" t="s">
        <v>15</v>
      </c>
      <c r="E64" s="43"/>
      <c r="F64" s="43"/>
      <c r="G64" s="44" t="s">
        <v>37</v>
      </c>
      <c r="H64" s="1323">
        <f t="shared" si="8"/>
        <v>89.664804469273747</v>
      </c>
      <c r="I64" s="1324"/>
      <c r="J64" s="488"/>
      <c r="K64" s="489"/>
      <c r="L64" s="490"/>
      <c r="M64" s="491"/>
      <c r="N64" s="481"/>
      <c r="O64" s="482"/>
      <c r="P64" s="483"/>
      <c r="Q64" s="485"/>
      <c r="R64" s="486"/>
      <c r="S64" s="487"/>
      <c r="T64" s="487"/>
      <c r="U64" s="487"/>
    </row>
    <row r="65" spans="1:21" ht="15" customHeight="1">
      <c r="A65" s="1294" t="s">
        <v>87</v>
      </c>
      <c r="B65" s="1318"/>
      <c r="C65" s="1318"/>
      <c r="D65" s="1318"/>
      <c r="E65" s="1318"/>
      <c r="F65" s="1318"/>
      <c r="G65" s="1318"/>
      <c r="H65" s="1318"/>
      <c r="I65" s="1318"/>
      <c r="J65" s="1318"/>
      <c r="K65" s="1318"/>
      <c r="L65" s="1318"/>
      <c r="M65" s="1318"/>
      <c r="N65" s="1318"/>
      <c r="O65" s="1318"/>
      <c r="P65" s="1318"/>
      <c r="Q65" s="1318"/>
      <c r="R65" s="1318"/>
      <c r="S65" s="1318"/>
      <c r="T65" s="1318"/>
      <c r="U65" s="1318"/>
    </row>
    <row r="66" spans="1:21" ht="15" customHeight="1">
      <c r="A66" s="1318"/>
      <c r="B66" s="1318"/>
      <c r="C66" s="1318"/>
      <c r="D66" s="1318"/>
      <c r="E66" s="1318"/>
      <c r="F66" s="1318"/>
      <c r="G66" s="1318"/>
      <c r="H66" s="1318"/>
      <c r="I66" s="1318"/>
      <c r="J66" s="1318"/>
      <c r="K66" s="1318"/>
      <c r="L66" s="1318"/>
      <c r="M66" s="1318"/>
      <c r="N66" s="1318"/>
      <c r="O66" s="1318"/>
      <c r="P66" s="1318"/>
      <c r="Q66" s="1318"/>
      <c r="R66" s="1318"/>
      <c r="S66" s="1318"/>
      <c r="T66" s="1318"/>
      <c r="U66" s="1318"/>
    </row>
  </sheetData>
  <mergeCells count="35">
    <mergeCell ref="H36:I36"/>
    <mergeCell ref="H2:T2"/>
    <mergeCell ref="A4:C8"/>
    <mergeCell ref="A9:C12"/>
    <mergeCell ref="H34:I34"/>
    <mergeCell ref="H35:I35"/>
    <mergeCell ref="H48:I48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60:I60"/>
    <mergeCell ref="H49:I49"/>
    <mergeCell ref="H50:I50"/>
    <mergeCell ref="H51:I51"/>
    <mergeCell ref="H52:I52"/>
    <mergeCell ref="H53:I53"/>
    <mergeCell ref="H54:I54"/>
    <mergeCell ref="H55:I55"/>
    <mergeCell ref="H56:I56"/>
    <mergeCell ref="H57:I57"/>
    <mergeCell ref="H58:I58"/>
    <mergeCell ref="H59:I59"/>
    <mergeCell ref="H61:I61"/>
    <mergeCell ref="H62:I62"/>
    <mergeCell ref="H63:I63"/>
    <mergeCell ref="H64:I64"/>
    <mergeCell ref="A65:U66"/>
  </mergeCells>
  <phoneticPr fontId="5"/>
  <pageMargins left="0.70866141732283472" right="0.70866141732283472" top="0.55118110236220474" bottom="0.55118110236220474" header="0.31496062992125984" footer="0.31496062992125984"/>
  <pageSetup paperSize="8"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2904A-5FBE-4408-B691-858A51745A4F}">
  <dimension ref="A1:AA67"/>
  <sheetViews>
    <sheetView view="pageBreakPreview" topLeftCell="A13" zoomScaleNormal="100" zoomScaleSheetLayoutView="100" workbookViewId="0">
      <pane xSplit="7" topLeftCell="N1" activePane="topRight" state="frozen"/>
      <selection pane="topRight" activeCell="N20" sqref="N20"/>
    </sheetView>
  </sheetViews>
  <sheetFormatPr defaultRowHeight="11.25"/>
  <cols>
    <col min="1" max="1" width="2.75" style="1" customWidth="1"/>
    <col min="2" max="3" width="6.625" style="1" customWidth="1"/>
    <col min="4" max="4" width="9.875" style="1" customWidth="1"/>
    <col min="5" max="5" width="13.875" style="1" customWidth="1"/>
    <col min="6" max="6" width="10.875" style="1" customWidth="1"/>
    <col min="7" max="7" width="6.375" style="1" bestFit="1" customWidth="1"/>
    <col min="8" max="19" width="11" style="1" customWidth="1"/>
    <col min="20" max="21" width="12.125" style="1" customWidth="1"/>
    <col min="22" max="27" width="7.875" style="1" customWidth="1"/>
    <col min="28" max="28" width="5.625" style="1" customWidth="1"/>
    <col min="29" max="16384" width="9" style="1"/>
  </cols>
  <sheetData>
    <row r="1" spans="1:27" ht="29.25" customHeight="1" thickBot="1">
      <c r="A1" s="2" t="s">
        <v>122</v>
      </c>
      <c r="B1" s="1140"/>
      <c r="C1" s="1140"/>
      <c r="D1" s="1140"/>
      <c r="E1" s="1140"/>
      <c r="F1" s="1140"/>
      <c r="G1" s="1140"/>
      <c r="H1" s="1140"/>
      <c r="I1" s="1140"/>
      <c r="J1" s="1140"/>
      <c r="K1" s="1140"/>
      <c r="L1" s="1140"/>
      <c r="M1" s="1140"/>
      <c r="N1" s="1140"/>
      <c r="O1" s="1140"/>
      <c r="P1" s="1140"/>
      <c r="Q1" s="1140"/>
      <c r="R1" s="1140"/>
      <c r="S1" s="1140"/>
      <c r="T1" s="1140"/>
      <c r="U1" s="1140"/>
      <c r="V1" s="1140"/>
      <c r="W1" s="1140"/>
      <c r="X1" s="1140"/>
      <c r="Y1" s="1140"/>
      <c r="Z1" s="1140"/>
      <c r="AA1" s="1140"/>
    </row>
    <row r="2" spans="1:27" ht="16.5" customHeight="1">
      <c r="A2" s="10"/>
      <c r="B2" s="11"/>
      <c r="C2" s="11"/>
      <c r="D2" s="11"/>
      <c r="E2" s="11"/>
      <c r="F2" s="11"/>
      <c r="G2" s="11"/>
      <c r="H2" s="1284" t="s">
        <v>74</v>
      </c>
      <c r="I2" s="1285"/>
      <c r="J2" s="1285"/>
      <c r="K2" s="1285"/>
      <c r="L2" s="1285"/>
      <c r="M2" s="1285"/>
      <c r="N2" s="1285"/>
      <c r="O2" s="1285"/>
      <c r="P2" s="1285"/>
      <c r="Q2" s="1285"/>
      <c r="R2" s="1285"/>
      <c r="S2" s="1285"/>
      <c r="T2" s="1311"/>
      <c r="U2" s="1146" t="s">
        <v>54</v>
      </c>
      <c r="V2" s="1005"/>
      <c r="W2" s="1005"/>
      <c r="X2" s="1005"/>
      <c r="Y2" s="1005"/>
      <c r="Z2" s="1005"/>
      <c r="AA2" s="1005"/>
    </row>
    <row r="3" spans="1:27" ht="15.75" thickBot="1">
      <c r="A3" s="19"/>
      <c r="B3" s="20"/>
      <c r="C3" s="20"/>
      <c r="D3" s="20"/>
      <c r="E3" s="20"/>
      <c r="F3" s="20"/>
      <c r="G3" s="20"/>
      <c r="H3" s="1006" t="s">
        <v>109</v>
      </c>
      <c r="I3" s="25" t="s">
        <v>110</v>
      </c>
      <c r="J3" s="25" t="s">
        <v>111</v>
      </c>
      <c r="K3" s="25" t="s">
        <v>112</v>
      </c>
      <c r="L3" s="25" t="s">
        <v>113</v>
      </c>
      <c r="M3" s="25" t="s">
        <v>114</v>
      </c>
      <c r="N3" s="25" t="s">
        <v>115</v>
      </c>
      <c r="O3" s="25" t="s">
        <v>116</v>
      </c>
      <c r="P3" s="25" t="s">
        <v>117</v>
      </c>
      <c r="Q3" s="25" t="s">
        <v>118</v>
      </c>
      <c r="R3" s="25" t="s">
        <v>124</v>
      </c>
      <c r="S3" s="27" t="s">
        <v>125</v>
      </c>
      <c r="T3" s="27" t="s">
        <v>127</v>
      </c>
      <c r="U3" s="27" t="s">
        <v>121</v>
      </c>
      <c r="V3" s="94"/>
      <c r="W3" s="94"/>
      <c r="X3" s="92"/>
      <c r="Y3" s="94"/>
      <c r="Z3" s="94"/>
      <c r="AA3" s="94"/>
    </row>
    <row r="4" spans="1:27" ht="15.75" thickTop="1">
      <c r="A4" s="39" t="s">
        <v>20</v>
      </c>
      <c r="B4" s="36"/>
      <c r="C4" s="36"/>
      <c r="D4" s="53" t="s">
        <v>16</v>
      </c>
      <c r="E4" s="54"/>
      <c r="F4" s="54"/>
      <c r="G4" s="55" t="s">
        <v>41</v>
      </c>
      <c r="H4" s="1080">
        <f>SUM(H5:H8)</f>
        <v>63205922</v>
      </c>
      <c r="I4" s="1081">
        <f t="shared" ref="I4:S4" si="0">SUM(I5:I8)</f>
        <v>62237460</v>
      </c>
      <c r="J4" s="1081">
        <f t="shared" si="0"/>
        <v>63550905</v>
      </c>
      <c r="K4" s="1082">
        <f t="shared" si="0"/>
        <v>62534155</v>
      </c>
      <c r="L4" s="1082">
        <f>SUM(L5:L8)</f>
        <v>63105928</v>
      </c>
      <c r="M4" s="1082">
        <f>SUM(M5:M8)</f>
        <v>62599111</v>
      </c>
      <c r="N4" s="1081">
        <f t="shared" si="0"/>
        <v>61412857</v>
      </c>
      <c r="O4" s="1081">
        <f t="shared" si="0"/>
        <v>66013582</v>
      </c>
      <c r="P4" s="1081">
        <f t="shared" si="0"/>
        <v>62654007</v>
      </c>
      <c r="Q4" s="1082">
        <f t="shared" si="0"/>
        <v>63036601</v>
      </c>
      <c r="R4" s="1082">
        <f t="shared" si="0"/>
        <v>64009571</v>
      </c>
      <c r="S4" s="1083">
        <f t="shared" si="0"/>
        <v>61256626</v>
      </c>
      <c r="T4" s="1092">
        <f t="shared" ref="T4:T23" si="1">SUM(H4:S4)</f>
        <v>755616725</v>
      </c>
      <c r="U4" s="1041">
        <f>SUM(U5:U8)</f>
        <v>720417000</v>
      </c>
      <c r="V4" s="496"/>
      <c r="W4" s="497"/>
      <c r="X4" s="498"/>
      <c r="Y4" s="499"/>
      <c r="Z4" s="500"/>
      <c r="AA4" s="501"/>
    </row>
    <row r="5" spans="1:27" ht="15">
      <c r="A5" s="14"/>
      <c r="B5" s="38"/>
      <c r="C5" s="38"/>
      <c r="D5" s="4" t="s">
        <v>21</v>
      </c>
      <c r="E5" s="47"/>
      <c r="F5" s="47"/>
      <c r="G5" s="48" t="s">
        <v>35</v>
      </c>
      <c r="H5" s="1014">
        <v>25292924</v>
      </c>
      <c r="I5" s="1015">
        <v>25116156</v>
      </c>
      <c r="J5" s="1015">
        <v>26515818</v>
      </c>
      <c r="K5" s="1016">
        <v>25752474</v>
      </c>
      <c r="L5" s="1016">
        <v>26628777</v>
      </c>
      <c r="M5" s="1016">
        <v>26250435</v>
      </c>
      <c r="N5" s="1015">
        <v>26196885</v>
      </c>
      <c r="O5" s="1015">
        <v>27407556</v>
      </c>
      <c r="P5" s="1015">
        <v>26287227</v>
      </c>
      <c r="Q5" s="1016">
        <v>27624015</v>
      </c>
      <c r="R5" s="1016">
        <v>26389836</v>
      </c>
      <c r="S5" s="1017">
        <v>26105355</v>
      </c>
      <c r="T5" s="1017">
        <f t="shared" si="1"/>
        <v>315567458</v>
      </c>
      <c r="U5" s="1017">
        <v>316903000</v>
      </c>
      <c r="V5" s="504"/>
      <c r="W5" s="505"/>
      <c r="X5" s="506"/>
      <c r="Y5" s="507"/>
      <c r="Z5" s="508"/>
      <c r="AA5" s="509"/>
    </row>
    <row r="6" spans="1:27" ht="15">
      <c r="A6" s="14"/>
      <c r="B6" s="38"/>
      <c r="C6" s="38"/>
      <c r="D6" s="4" t="s">
        <v>32</v>
      </c>
      <c r="E6" s="5"/>
      <c r="F6" s="5"/>
      <c r="G6" s="13" t="s">
        <v>35</v>
      </c>
      <c r="H6" s="1014">
        <v>16110779</v>
      </c>
      <c r="I6" s="1015">
        <v>15036921</v>
      </c>
      <c r="J6" s="1015">
        <v>15319076</v>
      </c>
      <c r="K6" s="1016">
        <v>16195640</v>
      </c>
      <c r="L6" s="1016">
        <v>15853942</v>
      </c>
      <c r="M6" s="1016">
        <v>17044822</v>
      </c>
      <c r="N6" s="1015">
        <v>15797654</v>
      </c>
      <c r="O6" s="1015">
        <v>16932659</v>
      </c>
      <c r="P6" s="1015">
        <v>15958977</v>
      </c>
      <c r="Q6" s="1016">
        <v>15548486</v>
      </c>
      <c r="R6" s="1016">
        <v>16719086</v>
      </c>
      <c r="S6" s="1017">
        <v>15527858</v>
      </c>
      <c r="T6" s="1017">
        <f t="shared" si="1"/>
        <v>192045900</v>
      </c>
      <c r="U6" s="1017">
        <v>190292000</v>
      </c>
      <c r="V6" s="512"/>
      <c r="W6" s="513"/>
      <c r="X6" s="514"/>
      <c r="Y6" s="515"/>
      <c r="Z6" s="516"/>
      <c r="AA6" s="517"/>
    </row>
    <row r="7" spans="1:27" ht="15">
      <c r="A7" s="14"/>
      <c r="B7" s="38"/>
      <c r="C7" s="38"/>
      <c r="D7" s="4" t="s">
        <v>22</v>
      </c>
      <c r="E7" s="5"/>
      <c r="F7" s="5"/>
      <c r="G7" s="13" t="s">
        <v>35</v>
      </c>
      <c r="H7" s="1014">
        <v>16828486</v>
      </c>
      <c r="I7" s="1015">
        <v>17070060</v>
      </c>
      <c r="J7" s="1015">
        <v>16847146</v>
      </c>
      <c r="K7" s="1016">
        <v>16133660</v>
      </c>
      <c r="L7" s="1016">
        <v>16380771</v>
      </c>
      <c r="M7" s="1016">
        <v>15133020</v>
      </c>
      <c r="N7" s="1015">
        <v>15383987</v>
      </c>
      <c r="O7" s="1015">
        <v>17757881</v>
      </c>
      <c r="P7" s="1015">
        <v>16299429</v>
      </c>
      <c r="Q7" s="1016">
        <v>15736934</v>
      </c>
      <c r="R7" s="1016">
        <v>16580073</v>
      </c>
      <c r="S7" s="1017">
        <v>15449798</v>
      </c>
      <c r="T7" s="1017">
        <f t="shared" si="1"/>
        <v>195601245</v>
      </c>
      <c r="U7" s="1017">
        <v>161854000</v>
      </c>
      <c r="V7" s="520"/>
      <c r="W7" s="521"/>
      <c r="X7" s="522"/>
      <c r="Y7" s="523"/>
      <c r="Z7" s="524"/>
      <c r="AA7" s="525"/>
    </row>
    <row r="8" spans="1:27" ht="15">
      <c r="A8" s="14"/>
      <c r="B8" s="38"/>
      <c r="C8" s="38"/>
      <c r="D8" s="49" t="s">
        <v>23</v>
      </c>
      <c r="E8" s="36"/>
      <c r="F8" s="36"/>
      <c r="G8" s="50" t="s">
        <v>35</v>
      </c>
      <c r="H8" s="1042">
        <v>4973733</v>
      </c>
      <c r="I8" s="1043">
        <v>5014323</v>
      </c>
      <c r="J8" s="1043">
        <v>4868865</v>
      </c>
      <c r="K8" s="1044">
        <v>4452381</v>
      </c>
      <c r="L8" s="1044">
        <v>4242438</v>
      </c>
      <c r="M8" s="1044">
        <v>4170834</v>
      </c>
      <c r="N8" s="1043">
        <v>4034331</v>
      </c>
      <c r="O8" s="1043">
        <v>3915486</v>
      </c>
      <c r="P8" s="1043">
        <v>4108374</v>
      </c>
      <c r="Q8" s="1044">
        <v>4127166</v>
      </c>
      <c r="R8" s="1044">
        <v>4320576</v>
      </c>
      <c r="S8" s="1045">
        <v>4173615</v>
      </c>
      <c r="T8" s="1045">
        <f t="shared" si="1"/>
        <v>52402122</v>
      </c>
      <c r="U8" s="1045">
        <v>51368000</v>
      </c>
      <c r="V8" s="528"/>
      <c r="W8" s="529"/>
      <c r="X8" s="530"/>
      <c r="Y8" s="531"/>
      <c r="Z8" s="532"/>
      <c r="AA8" s="533"/>
    </row>
    <row r="9" spans="1:27" ht="15">
      <c r="A9" s="39" t="s">
        <v>2</v>
      </c>
      <c r="B9" s="36"/>
      <c r="C9" s="36"/>
      <c r="D9" s="53" t="s">
        <v>16</v>
      </c>
      <c r="E9" s="54"/>
      <c r="F9" s="54"/>
      <c r="G9" s="56" t="s">
        <v>35</v>
      </c>
      <c r="H9" s="1038">
        <f>SUM(H10:H12)</f>
        <v>13562226</v>
      </c>
      <c r="I9" s="1039">
        <f t="shared" ref="I9:S9" si="2">SUM(I10:I12)</f>
        <v>14094036</v>
      </c>
      <c r="J9" s="1039">
        <f t="shared" si="2"/>
        <v>13849398</v>
      </c>
      <c r="K9" s="1040">
        <f t="shared" si="2"/>
        <v>13234788</v>
      </c>
      <c r="L9" s="1040">
        <f>SUM(L10:L12)</f>
        <v>13903992</v>
      </c>
      <c r="M9" s="1040">
        <f>SUM(M10:M12)</f>
        <v>13708251</v>
      </c>
      <c r="N9" s="1039">
        <f t="shared" si="2"/>
        <v>13196421</v>
      </c>
      <c r="O9" s="1039">
        <f t="shared" si="2"/>
        <v>13915746</v>
      </c>
      <c r="P9" s="1039">
        <f t="shared" si="2"/>
        <v>13682664</v>
      </c>
      <c r="Q9" s="1040">
        <f t="shared" si="2"/>
        <v>13848633</v>
      </c>
      <c r="R9" s="1040">
        <f t="shared" si="2"/>
        <v>13310253</v>
      </c>
      <c r="S9" s="1041">
        <f t="shared" si="2"/>
        <v>12300120</v>
      </c>
      <c r="T9" s="1128">
        <f t="shared" si="1"/>
        <v>162606528</v>
      </c>
      <c r="U9" s="1041">
        <f>SUM(U10:U12)</f>
        <v>172802000</v>
      </c>
      <c r="V9" s="536"/>
      <c r="W9" s="537"/>
      <c r="X9" s="538"/>
      <c r="Y9" s="539"/>
      <c r="Z9" s="540"/>
      <c r="AA9" s="541"/>
    </row>
    <row r="10" spans="1:27" ht="15">
      <c r="A10" s="14"/>
      <c r="B10" s="38"/>
      <c r="C10" s="38"/>
      <c r="D10" s="4" t="s">
        <v>17</v>
      </c>
      <c r="E10" s="5"/>
      <c r="F10" s="5"/>
      <c r="G10" s="13" t="s">
        <v>35</v>
      </c>
      <c r="H10" s="1014">
        <v>303705</v>
      </c>
      <c r="I10" s="1015">
        <v>259290</v>
      </c>
      <c r="J10" s="1015">
        <v>166635</v>
      </c>
      <c r="K10" s="1016">
        <v>161262</v>
      </c>
      <c r="L10" s="1016">
        <v>166635</v>
      </c>
      <c r="M10" s="1016">
        <v>150507</v>
      </c>
      <c r="N10" s="1015">
        <v>161262</v>
      </c>
      <c r="O10" s="1015">
        <v>167238</v>
      </c>
      <c r="P10" s="1015">
        <v>164538</v>
      </c>
      <c r="Q10" s="1016">
        <v>167319</v>
      </c>
      <c r="R10" s="1016">
        <v>159048</v>
      </c>
      <c r="S10" s="1017">
        <v>159048</v>
      </c>
      <c r="T10" s="1017">
        <f t="shared" si="1"/>
        <v>2186487</v>
      </c>
      <c r="U10" s="1017">
        <v>5141000</v>
      </c>
      <c r="V10" s="544"/>
      <c r="W10" s="545"/>
      <c r="X10" s="546"/>
      <c r="Y10" s="547"/>
      <c r="Z10" s="548"/>
      <c r="AA10" s="549"/>
    </row>
    <row r="11" spans="1:27" ht="15">
      <c r="A11" s="14"/>
      <c r="B11" s="38"/>
      <c r="C11" s="38"/>
      <c r="D11" s="4" t="s">
        <v>19</v>
      </c>
      <c r="E11" s="5"/>
      <c r="F11" s="5"/>
      <c r="G11" s="13" t="s">
        <v>35</v>
      </c>
      <c r="H11" s="1014">
        <v>0</v>
      </c>
      <c r="I11" s="1015">
        <v>0</v>
      </c>
      <c r="J11" s="1015">
        <v>0</v>
      </c>
      <c r="K11" s="1016">
        <v>0</v>
      </c>
      <c r="L11" s="1016">
        <v>0</v>
      </c>
      <c r="M11" s="1016">
        <v>0</v>
      </c>
      <c r="N11" s="1015">
        <v>0</v>
      </c>
      <c r="O11" s="1015">
        <v>0</v>
      </c>
      <c r="P11" s="1015">
        <v>0</v>
      </c>
      <c r="Q11" s="1016">
        <v>0</v>
      </c>
      <c r="R11" s="1016">
        <v>0</v>
      </c>
      <c r="S11" s="1017">
        <v>0</v>
      </c>
      <c r="T11" s="1017">
        <f t="shared" si="1"/>
        <v>0</v>
      </c>
      <c r="U11" s="1017">
        <v>0</v>
      </c>
      <c r="V11" s="552"/>
      <c r="W11" s="553"/>
      <c r="X11" s="554"/>
      <c r="Y11" s="555"/>
      <c r="Z11" s="556"/>
      <c r="AA11" s="557"/>
    </row>
    <row r="12" spans="1:27" ht="15">
      <c r="A12" s="15"/>
      <c r="B12" s="37"/>
      <c r="C12" s="37"/>
      <c r="D12" s="4" t="s">
        <v>18</v>
      </c>
      <c r="E12" s="5"/>
      <c r="F12" s="5"/>
      <c r="G12" s="13" t="s">
        <v>35</v>
      </c>
      <c r="H12" s="1042">
        <v>13258521</v>
      </c>
      <c r="I12" s="1043">
        <v>13834746</v>
      </c>
      <c r="J12" s="1043">
        <v>13682763</v>
      </c>
      <c r="K12" s="1044">
        <v>13073526</v>
      </c>
      <c r="L12" s="1044">
        <v>13737357</v>
      </c>
      <c r="M12" s="1044">
        <v>13557744</v>
      </c>
      <c r="N12" s="1043">
        <v>13035159</v>
      </c>
      <c r="O12" s="1043">
        <v>13748508</v>
      </c>
      <c r="P12" s="1043">
        <v>13518126</v>
      </c>
      <c r="Q12" s="1044">
        <v>13681314</v>
      </c>
      <c r="R12" s="1044">
        <v>13151205</v>
      </c>
      <c r="S12" s="1045">
        <f>11670552+470520</f>
        <v>12141072</v>
      </c>
      <c r="T12" s="1045">
        <f t="shared" si="1"/>
        <v>160420041</v>
      </c>
      <c r="U12" s="1045">
        <v>167661000</v>
      </c>
      <c r="V12" s="560"/>
      <c r="W12" s="561"/>
      <c r="X12" s="562"/>
      <c r="Y12" s="563"/>
      <c r="Z12" s="564"/>
      <c r="AA12" s="565"/>
    </row>
    <row r="13" spans="1:27" ht="15">
      <c r="A13" s="39" t="s">
        <v>1</v>
      </c>
      <c r="B13" s="36"/>
      <c r="C13" s="36"/>
      <c r="D13" s="53" t="s">
        <v>16</v>
      </c>
      <c r="E13" s="54"/>
      <c r="F13" s="54"/>
      <c r="G13" s="56" t="s">
        <v>35</v>
      </c>
      <c r="H13" s="1038">
        <f>SUM(H14:H32)</f>
        <v>81456862</v>
      </c>
      <c r="I13" s="1039">
        <f t="shared" ref="I13:U13" si="3">SUM(I14:I32)</f>
        <v>79245695</v>
      </c>
      <c r="J13" s="1039">
        <f t="shared" si="3"/>
        <v>80779783</v>
      </c>
      <c r="K13" s="1040">
        <f t="shared" si="3"/>
        <v>79265110</v>
      </c>
      <c r="L13" s="1040">
        <f t="shared" si="3"/>
        <v>82364712</v>
      </c>
      <c r="M13" s="1040">
        <f t="shared" si="3"/>
        <v>80085281</v>
      </c>
      <c r="N13" s="1039">
        <f t="shared" si="3"/>
        <v>79446905</v>
      </c>
      <c r="O13" s="1039">
        <f t="shared" si="3"/>
        <v>85019848</v>
      </c>
      <c r="P13" s="1039">
        <f t="shared" si="3"/>
        <v>81036726</v>
      </c>
      <c r="Q13" s="1040">
        <f t="shared" si="3"/>
        <v>83144890</v>
      </c>
      <c r="R13" s="1040">
        <f t="shared" si="3"/>
        <v>80738411</v>
      </c>
      <c r="S13" s="1041">
        <f t="shared" si="3"/>
        <v>78229481</v>
      </c>
      <c r="T13" s="1128">
        <f t="shared" si="3"/>
        <v>970813704</v>
      </c>
      <c r="U13" s="1047">
        <f t="shared" si="3"/>
        <v>1153089000</v>
      </c>
      <c r="V13" s="568"/>
      <c r="W13" s="569"/>
      <c r="X13" s="570"/>
      <c r="Y13" s="571"/>
      <c r="Z13" s="572"/>
      <c r="AA13" s="573"/>
    </row>
    <row r="14" spans="1:27" ht="15">
      <c r="A14" s="14"/>
      <c r="B14" s="38"/>
      <c r="C14" s="38"/>
      <c r="D14" s="4" t="s">
        <v>25</v>
      </c>
      <c r="E14" s="5"/>
      <c r="F14" s="5"/>
      <c r="G14" s="13" t="s">
        <v>35</v>
      </c>
      <c r="H14" s="1014">
        <v>18831145</v>
      </c>
      <c r="I14" s="1015">
        <v>18485441</v>
      </c>
      <c r="J14" s="1015">
        <v>19251113</v>
      </c>
      <c r="K14" s="1016">
        <v>18871334</v>
      </c>
      <c r="L14" s="1016">
        <v>18666807</v>
      </c>
      <c r="M14" s="1126">
        <v>18119809</v>
      </c>
      <c r="N14" s="1126">
        <v>18356981</v>
      </c>
      <c r="O14" s="1126">
        <v>20153005</v>
      </c>
      <c r="P14" s="1126">
        <v>19479619</v>
      </c>
      <c r="Q14" s="1126">
        <v>20713628</v>
      </c>
      <c r="R14" s="1126">
        <v>20212338</v>
      </c>
      <c r="S14" s="1126">
        <v>19504507</v>
      </c>
      <c r="T14" s="1017">
        <f t="shared" si="1"/>
        <v>230645727</v>
      </c>
      <c r="U14" s="1017">
        <v>236865000</v>
      </c>
      <c r="V14" s="576"/>
      <c r="W14" s="577"/>
      <c r="X14" s="578"/>
      <c r="Y14" s="579"/>
      <c r="Z14" s="580"/>
      <c r="AA14" s="581"/>
    </row>
    <row r="15" spans="1:27" ht="15">
      <c r="A15" s="14"/>
      <c r="B15" s="38"/>
      <c r="C15" s="38"/>
      <c r="D15" s="4" t="s">
        <v>26</v>
      </c>
      <c r="E15" s="5"/>
      <c r="F15" s="5"/>
      <c r="G15" s="13" t="s">
        <v>35</v>
      </c>
      <c r="H15" s="1014">
        <v>510534</v>
      </c>
      <c r="I15" s="1015">
        <v>591141</v>
      </c>
      <c r="J15" s="1015">
        <v>559590</v>
      </c>
      <c r="K15" s="1016">
        <v>498615</v>
      </c>
      <c r="L15" s="1016">
        <v>571839</v>
      </c>
      <c r="M15" s="1126">
        <v>611891</v>
      </c>
      <c r="N15" s="1015">
        <v>707460</v>
      </c>
      <c r="O15" s="1015">
        <v>713645</v>
      </c>
      <c r="P15" s="1015">
        <v>664505</v>
      </c>
      <c r="Q15" s="1016">
        <v>640871</v>
      </c>
      <c r="R15" s="1016">
        <v>640511</v>
      </c>
      <c r="S15" s="1017">
        <v>520224</v>
      </c>
      <c r="T15" s="1017">
        <f t="shared" si="1"/>
        <v>7230826</v>
      </c>
      <c r="U15" s="1017">
        <v>12142000</v>
      </c>
      <c r="V15" s="584"/>
      <c r="W15" s="585"/>
      <c r="X15" s="586"/>
      <c r="Y15" s="587"/>
      <c r="Z15" s="588"/>
      <c r="AA15" s="589"/>
    </row>
    <row r="16" spans="1:27" ht="15">
      <c r="A16" s="14"/>
      <c r="B16" s="38"/>
      <c r="C16" s="38"/>
      <c r="D16" s="4" t="s">
        <v>27</v>
      </c>
      <c r="E16" s="5"/>
      <c r="F16" s="5"/>
      <c r="G16" s="13" t="s">
        <v>35</v>
      </c>
      <c r="H16" s="1014">
        <v>3251106</v>
      </c>
      <c r="I16" s="1015">
        <v>3092101</v>
      </c>
      <c r="J16" s="1015">
        <v>3370159</v>
      </c>
      <c r="K16" s="1016">
        <v>3228826</v>
      </c>
      <c r="L16" s="1016">
        <v>3492349</v>
      </c>
      <c r="M16" s="1016">
        <v>3441642</v>
      </c>
      <c r="N16" s="1015">
        <f>3228170+76986</f>
        <v>3305156</v>
      </c>
      <c r="O16" s="1015">
        <f>3437122+159381</f>
        <v>3596503</v>
      </c>
      <c r="P16" s="1015">
        <f>3285181+133290</f>
        <v>3418471</v>
      </c>
      <c r="Q16" s="1016">
        <f>3096368+124029</f>
        <v>3220397</v>
      </c>
      <c r="R16" s="1016">
        <f>2983093+234672</f>
        <v>3217765</v>
      </c>
      <c r="S16" s="1017">
        <f>2665182+222554</f>
        <v>2887736</v>
      </c>
      <c r="T16" s="1017">
        <f t="shared" si="1"/>
        <v>39522211</v>
      </c>
      <c r="U16" s="1017">
        <v>59787000</v>
      </c>
      <c r="V16" s="592"/>
      <c r="W16" s="593"/>
      <c r="X16" s="594"/>
      <c r="Y16" s="595"/>
      <c r="Z16" s="596"/>
      <c r="AA16" s="597"/>
    </row>
    <row r="17" spans="1:27" ht="15">
      <c r="A17" s="14"/>
      <c r="B17" s="38"/>
      <c r="C17" s="38"/>
      <c r="D17" s="4" t="s">
        <v>28</v>
      </c>
      <c r="E17" s="5"/>
      <c r="F17" s="5"/>
      <c r="G17" s="13" t="s">
        <v>35</v>
      </c>
      <c r="H17" s="1014">
        <v>213372</v>
      </c>
      <c r="I17" s="1015">
        <v>223533</v>
      </c>
      <c r="J17" s="1015">
        <v>177165</v>
      </c>
      <c r="K17" s="1016">
        <v>120177</v>
      </c>
      <c r="L17" s="1016">
        <v>109935</v>
      </c>
      <c r="M17" s="1016">
        <v>85842</v>
      </c>
      <c r="N17" s="1015">
        <f>92043+0</f>
        <v>92043</v>
      </c>
      <c r="O17" s="1015">
        <v>104409</v>
      </c>
      <c r="P17" s="1015">
        <v>97794</v>
      </c>
      <c r="Q17" s="1016">
        <v>98145</v>
      </c>
      <c r="R17" s="1016">
        <v>130995</v>
      </c>
      <c r="S17" s="1017">
        <f>130995+6608</f>
        <v>137603</v>
      </c>
      <c r="T17" s="1017">
        <f t="shared" si="1"/>
        <v>1591013</v>
      </c>
      <c r="U17" s="1017">
        <v>583000</v>
      </c>
      <c r="V17" s="600"/>
      <c r="W17" s="601"/>
      <c r="X17" s="602"/>
      <c r="Y17" s="603"/>
      <c r="Z17" s="604"/>
      <c r="AA17" s="605"/>
    </row>
    <row r="18" spans="1:27" ht="15">
      <c r="A18" s="14"/>
      <c r="B18" s="38"/>
      <c r="C18" s="38"/>
      <c r="D18" s="4" t="s">
        <v>29</v>
      </c>
      <c r="E18" s="5"/>
      <c r="F18" s="5"/>
      <c r="G18" s="13" t="s">
        <v>35</v>
      </c>
      <c r="H18" s="1014">
        <v>545871</v>
      </c>
      <c r="I18" s="1015">
        <v>477533</v>
      </c>
      <c r="J18" s="1015">
        <v>503493</v>
      </c>
      <c r="K18" s="1016">
        <v>494327</v>
      </c>
      <c r="L18" s="1016">
        <v>537081</v>
      </c>
      <c r="M18" s="1016">
        <v>537037</v>
      </c>
      <c r="N18" s="1015">
        <f>569284+17982</f>
        <v>587266</v>
      </c>
      <c r="O18" s="1015">
        <f>414026+30411</f>
        <v>444437</v>
      </c>
      <c r="P18" s="1015">
        <f>382033+33615</f>
        <v>415648</v>
      </c>
      <c r="Q18" s="1016">
        <f>696000+41400</f>
        <v>737400</v>
      </c>
      <c r="R18" s="1016">
        <f>437894+49167</f>
        <v>487061</v>
      </c>
      <c r="S18" s="1017">
        <f>440990+54934</f>
        <v>495924</v>
      </c>
      <c r="T18" s="1017">
        <f t="shared" si="1"/>
        <v>6263078</v>
      </c>
      <c r="U18" s="1017">
        <v>5702000</v>
      </c>
      <c r="V18" s="608"/>
      <c r="W18" s="609"/>
      <c r="X18" s="610"/>
      <c r="Y18" s="611"/>
      <c r="Z18" s="612"/>
      <c r="AA18" s="613"/>
    </row>
    <row r="19" spans="1:27" ht="15">
      <c r="A19" s="14"/>
      <c r="B19" s="38"/>
      <c r="C19" s="38"/>
      <c r="D19" s="4" t="s">
        <v>5</v>
      </c>
      <c r="E19" s="5"/>
      <c r="F19" s="5"/>
      <c r="G19" s="13" t="s">
        <v>35</v>
      </c>
      <c r="H19" s="1014">
        <v>26649280</v>
      </c>
      <c r="I19" s="1015">
        <v>26086900</v>
      </c>
      <c r="J19" s="1015">
        <v>26517755</v>
      </c>
      <c r="K19" s="1016">
        <v>25981081</v>
      </c>
      <c r="L19" s="1016">
        <v>27413508</v>
      </c>
      <c r="M19" s="1016">
        <v>26058914</v>
      </c>
      <c r="N19" s="1015">
        <v>25997088</v>
      </c>
      <c r="O19" s="1015">
        <v>27703604</v>
      </c>
      <c r="P19" s="1015">
        <v>25626397</v>
      </c>
      <c r="Q19" s="1016">
        <v>25884436</v>
      </c>
      <c r="R19" s="1016">
        <v>24493142</v>
      </c>
      <c r="S19" s="1017">
        <v>24826646</v>
      </c>
      <c r="T19" s="1017">
        <f t="shared" si="1"/>
        <v>313238751</v>
      </c>
      <c r="U19" s="1017">
        <v>351538000</v>
      </c>
      <c r="V19" s="616"/>
      <c r="W19" s="617"/>
      <c r="X19" s="618"/>
      <c r="Y19" s="619"/>
      <c r="Z19" s="620"/>
      <c r="AA19" s="621"/>
    </row>
    <row r="20" spans="1:27" ht="15">
      <c r="A20" s="14"/>
      <c r="B20" s="38"/>
      <c r="C20" s="38"/>
      <c r="D20" s="4" t="s">
        <v>6</v>
      </c>
      <c r="E20" s="5"/>
      <c r="F20" s="5"/>
      <c r="G20" s="13" t="s">
        <v>35</v>
      </c>
      <c r="H20" s="1014">
        <v>430155</v>
      </c>
      <c r="I20" s="1015">
        <v>421713</v>
      </c>
      <c r="J20" s="1015">
        <v>414504</v>
      </c>
      <c r="K20" s="1016">
        <v>323394</v>
      </c>
      <c r="L20" s="1016">
        <v>431536</v>
      </c>
      <c r="M20" s="1016">
        <v>509168</v>
      </c>
      <c r="N20" s="1015">
        <v>394826</v>
      </c>
      <c r="O20" s="1015">
        <v>431824</v>
      </c>
      <c r="P20" s="1015">
        <v>237510</v>
      </c>
      <c r="Q20" s="1016">
        <v>230148</v>
      </c>
      <c r="R20" s="1016">
        <v>134856</v>
      </c>
      <c r="S20" s="1017">
        <v>84402</v>
      </c>
      <c r="T20" s="1017">
        <f t="shared" si="1"/>
        <v>4044036</v>
      </c>
      <c r="U20" s="1017">
        <v>11727000</v>
      </c>
      <c r="V20" s="624"/>
      <c r="W20" s="625"/>
      <c r="X20" s="626"/>
      <c r="Y20" s="627"/>
      <c r="Z20" s="628"/>
      <c r="AA20" s="629"/>
    </row>
    <row r="21" spans="1:27" ht="15">
      <c r="A21" s="14"/>
      <c r="B21" s="38"/>
      <c r="C21" s="38"/>
      <c r="D21" s="4" t="s">
        <v>7</v>
      </c>
      <c r="E21" s="5"/>
      <c r="F21" s="5"/>
      <c r="G21" s="13" t="s">
        <v>35</v>
      </c>
      <c r="H21" s="1014">
        <v>6793148</v>
      </c>
      <c r="I21" s="1015">
        <v>7123682</v>
      </c>
      <c r="J21" s="1015">
        <v>7249515</v>
      </c>
      <c r="K21" s="1016">
        <v>6965116</v>
      </c>
      <c r="L21" s="1016">
        <v>7347978</v>
      </c>
      <c r="M21" s="1016">
        <v>7264388</v>
      </c>
      <c r="N21" s="1015">
        <f>6102778+917829</f>
        <v>7020607</v>
      </c>
      <c r="O21" s="1015">
        <f>6318709+993213</f>
        <v>7311922</v>
      </c>
      <c r="P21" s="1015">
        <f>5945971+976158</f>
        <v>6922129</v>
      </c>
      <c r="Q21" s="1016">
        <f>6526131+1040238</f>
        <v>7566369</v>
      </c>
      <c r="R21" s="1016">
        <f>6134818+1083465</f>
        <v>7218283</v>
      </c>
      <c r="S21" s="1017">
        <f>5944782+1060851</f>
        <v>7005633</v>
      </c>
      <c r="T21" s="1017">
        <f t="shared" si="1"/>
        <v>85788770</v>
      </c>
      <c r="U21" s="1017">
        <v>88921000</v>
      </c>
      <c r="V21" s="632"/>
      <c r="W21" s="633"/>
      <c r="X21" s="634"/>
      <c r="Y21" s="635"/>
      <c r="Z21" s="636"/>
      <c r="AA21" s="637"/>
    </row>
    <row r="22" spans="1:27" ht="15">
      <c r="A22" s="14"/>
      <c r="B22" s="38"/>
      <c r="C22" s="38"/>
      <c r="D22" s="4" t="s">
        <v>11</v>
      </c>
      <c r="E22" s="5"/>
      <c r="F22" s="5"/>
      <c r="G22" s="13" t="s">
        <v>35</v>
      </c>
      <c r="H22" s="1014">
        <v>7405723</v>
      </c>
      <c r="I22" s="1015">
        <v>6728895</v>
      </c>
      <c r="J22" s="1015">
        <v>7024654</v>
      </c>
      <c r="K22" s="1016">
        <v>6793967</v>
      </c>
      <c r="L22" s="1016">
        <v>7430696</v>
      </c>
      <c r="M22" s="1016">
        <v>7202583</v>
      </c>
      <c r="N22" s="1015">
        <f>6385311+128331</f>
        <v>6513642</v>
      </c>
      <c r="O22" s="1015">
        <f>7783281+82350</f>
        <v>7865631</v>
      </c>
      <c r="P22" s="1015">
        <f>7583841+48771</f>
        <v>7632612</v>
      </c>
      <c r="Q22" s="1016">
        <f>7694622+57276</f>
        <v>7751898</v>
      </c>
      <c r="R22" s="1016">
        <f>7418597+42993</f>
        <v>7461590</v>
      </c>
      <c r="S22" s="1017">
        <f>7098020+25884</f>
        <v>7123904</v>
      </c>
      <c r="T22" s="1017">
        <f t="shared" si="1"/>
        <v>86935795</v>
      </c>
      <c r="U22" s="1017">
        <v>147438000</v>
      </c>
      <c r="V22" s="640"/>
      <c r="W22" s="641"/>
      <c r="X22" s="642"/>
      <c r="Y22" s="643"/>
      <c r="Z22" s="644"/>
      <c r="AA22" s="645"/>
    </row>
    <row r="23" spans="1:27" ht="15">
      <c r="A23" s="14"/>
      <c r="B23" s="38"/>
      <c r="C23" s="38"/>
      <c r="D23" s="4" t="s">
        <v>129</v>
      </c>
      <c r="E23" s="5"/>
      <c r="F23" s="5"/>
      <c r="G23" s="13" t="s">
        <v>35</v>
      </c>
      <c r="H23" s="1014">
        <v>790983</v>
      </c>
      <c r="I23" s="1015">
        <v>417960</v>
      </c>
      <c r="J23" s="1015">
        <v>364500</v>
      </c>
      <c r="K23" s="1016">
        <v>395379</v>
      </c>
      <c r="L23" s="1016">
        <v>289026</v>
      </c>
      <c r="M23" s="1016">
        <v>620181</v>
      </c>
      <c r="N23" s="1015">
        <v>618732</v>
      </c>
      <c r="O23" s="1015">
        <v>599500</v>
      </c>
      <c r="P23" s="1015">
        <v>860283</v>
      </c>
      <c r="Q23" s="1016">
        <v>647037</v>
      </c>
      <c r="R23" s="1016">
        <v>862308</v>
      </c>
      <c r="S23" s="1017">
        <v>646218</v>
      </c>
      <c r="T23" s="1017">
        <f t="shared" si="1"/>
        <v>7112107</v>
      </c>
      <c r="U23" s="1017">
        <v>15146000</v>
      </c>
      <c r="V23" s="648"/>
      <c r="W23" s="649"/>
      <c r="X23" s="650"/>
      <c r="Y23" s="651"/>
      <c r="Z23" s="652"/>
      <c r="AA23" s="653"/>
    </row>
    <row r="24" spans="1:27" ht="15">
      <c r="A24" s="14"/>
      <c r="B24" s="38"/>
      <c r="C24" s="38"/>
      <c r="D24" s="4" t="s">
        <v>14</v>
      </c>
      <c r="E24" s="5"/>
      <c r="F24" s="5"/>
      <c r="G24" s="13" t="s">
        <v>35</v>
      </c>
      <c r="H24" s="1014">
        <v>3879878</v>
      </c>
      <c r="I24" s="1015">
        <v>3868956</v>
      </c>
      <c r="J24" s="1015">
        <v>3928698</v>
      </c>
      <c r="K24" s="1016">
        <v>4013751</v>
      </c>
      <c r="L24" s="1016">
        <v>3963415</v>
      </c>
      <c r="M24" s="1016">
        <v>3920399</v>
      </c>
      <c r="N24" s="1015">
        <f>3680114+270135</f>
        <v>3950249</v>
      </c>
      <c r="O24" s="1015">
        <f>3764031+294966</f>
        <v>4058997</v>
      </c>
      <c r="P24" s="1015">
        <f>3641695+285588</f>
        <v>3927283</v>
      </c>
      <c r="Q24" s="1016">
        <f>3679644+220320</f>
        <v>3899964</v>
      </c>
      <c r="R24" s="1016">
        <f>3518386+339849</f>
        <v>3858235</v>
      </c>
      <c r="S24" s="1017">
        <f>3507616+260937</f>
        <v>3768553</v>
      </c>
      <c r="T24" s="1017">
        <f t="shared" ref="T24:T32" si="4">SUM(H24:S24)</f>
        <v>47038378</v>
      </c>
      <c r="U24" s="1017">
        <v>50640000</v>
      </c>
      <c r="V24" s="664"/>
      <c r="W24" s="665"/>
      <c r="X24" s="666"/>
      <c r="Y24" s="667"/>
      <c r="Z24" s="668"/>
      <c r="AA24" s="669"/>
    </row>
    <row r="25" spans="1:27" ht="15">
      <c r="A25" s="14"/>
      <c r="B25" s="38"/>
      <c r="C25" s="38"/>
      <c r="D25" s="4" t="s">
        <v>33</v>
      </c>
      <c r="E25" s="5"/>
      <c r="F25" s="5"/>
      <c r="G25" s="13" t="s">
        <v>35</v>
      </c>
      <c r="H25" s="1015">
        <v>79270</v>
      </c>
      <c r="I25" s="1015">
        <v>39600</v>
      </c>
      <c r="J25" s="1016">
        <v>0</v>
      </c>
      <c r="K25" s="1016">
        <v>114937</v>
      </c>
      <c r="L25" s="1016">
        <v>85278</v>
      </c>
      <c r="M25" s="1015">
        <v>56192</v>
      </c>
      <c r="N25" s="1015">
        <f>79528+0</f>
        <v>79528</v>
      </c>
      <c r="O25" s="1015">
        <f>114899</f>
        <v>114899</v>
      </c>
      <c r="P25" s="1015">
        <f>92322+0</f>
        <v>92322</v>
      </c>
      <c r="Q25" s="1016">
        <f>36711+0</f>
        <v>36711</v>
      </c>
      <c r="R25" s="1016">
        <v>69277</v>
      </c>
      <c r="S25" s="1017">
        <f>65016+15939</f>
        <v>80955</v>
      </c>
      <c r="T25" s="1017">
        <f t="shared" si="4"/>
        <v>848969</v>
      </c>
      <c r="U25" s="1017">
        <v>1239000</v>
      </c>
      <c r="V25" s="672"/>
      <c r="W25" s="673"/>
      <c r="X25" s="674"/>
      <c r="Y25" s="675"/>
      <c r="Z25" s="676"/>
      <c r="AA25" s="677"/>
    </row>
    <row r="26" spans="1:27" ht="15">
      <c r="A26" s="14"/>
      <c r="B26" s="38"/>
      <c r="C26" s="38"/>
      <c r="D26" s="4" t="s">
        <v>34</v>
      </c>
      <c r="E26" s="5"/>
      <c r="F26" s="5"/>
      <c r="G26" s="13" t="s">
        <v>35</v>
      </c>
      <c r="H26" s="1015">
        <v>360000</v>
      </c>
      <c r="I26" s="1015">
        <v>31500</v>
      </c>
      <c r="J26" s="1016">
        <v>0</v>
      </c>
      <c r="K26" s="1016">
        <v>180000</v>
      </c>
      <c r="L26" s="1016">
        <v>0</v>
      </c>
      <c r="M26" s="1015">
        <v>318621</v>
      </c>
      <c r="N26" s="1015">
        <v>208367</v>
      </c>
      <c r="O26" s="1015">
        <v>0</v>
      </c>
      <c r="P26" s="1015">
        <v>81081</v>
      </c>
      <c r="Q26" s="1016">
        <v>63000</v>
      </c>
      <c r="R26" s="1016">
        <v>124999</v>
      </c>
      <c r="S26" s="1017">
        <v>135630</v>
      </c>
      <c r="T26" s="1017">
        <f t="shared" si="4"/>
        <v>1503198</v>
      </c>
      <c r="U26" s="1017">
        <v>1065000</v>
      </c>
      <c r="V26" s="680"/>
      <c r="W26" s="681"/>
      <c r="X26" s="682"/>
      <c r="Y26" s="683"/>
      <c r="Z26" s="684"/>
      <c r="AA26" s="685"/>
    </row>
    <row r="27" spans="1:27" ht="15">
      <c r="A27" s="14"/>
      <c r="B27" s="38"/>
      <c r="C27" s="38"/>
      <c r="D27" s="4" t="s">
        <v>3</v>
      </c>
      <c r="E27" s="5"/>
      <c r="F27" s="5"/>
      <c r="G27" s="13" t="s">
        <v>35</v>
      </c>
      <c r="H27" s="1016">
        <v>0</v>
      </c>
      <c r="I27" s="1016">
        <v>0</v>
      </c>
      <c r="J27" s="1016">
        <v>0</v>
      </c>
      <c r="K27" s="1016">
        <v>0</v>
      </c>
      <c r="L27" s="1016">
        <v>0</v>
      </c>
      <c r="M27" s="1016">
        <v>0</v>
      </c>
      <c r="N27" s="1016">
        <v>0</v>
      </c>
      <c r="O27" s="1016">
        <v>0</v>
      </c>
      <c r="P27" s="1016">
        <v>0</v>
      </c>
      <c r="Q27" s="1016">
        <v>0</v>
      </c>
      <c r="R27" s="1016">
        <v>277398</v>
      </c>
      <c r="S27" s="1017">
        <v>250722</v>
      </c>
      <c r="T27" s="1017">
        <f t="shared" si="4"/>
        <v>528120</v>
      </c>
      <c r="U27" s="1017">
        <v>0</v>
      </c>
      <c r="V27" s="688"/>
      <c r="W27" s="689"/>
      <c r="X27" s="690"/>
      <c r="Y27" s="691"/>
      <c r="Z27" s="692"/>
      <c r="AA27" s="693"/>
    </row>
    <row r="28" spans="1:27" ht="15">
      <c r="A28" s="14"/>
      <c r="B28" s="38"/>
      <c r="C28" s="38"/>
      <c r="D28" s="4" t="s">
        <v>4</v>
      </c>
      <c r="E28" s="5"/>
      <c r="F28" s="5"/>
      <c r="G28" s="13" t="s">
        <v>35</v>
      </c>
      <c r="H28" s="1016">
        <v>0</v>
      </c>
      <c r="I28" s="1016">
        <v>0</v>
      </c>
      <c r="J28" s="1016">
        <v>0</v>
      </c>
      <c r="K28" s="1016">
        <v>0</v>
      </c>
      <c r="L28" s="1016">
        <v>0</v>
      </c>
      <c r="M28" s="1016">
        <v>0</v>
      </c>
      <c r="N28" s="1016">
        <v>0</v>
      </c>
      <c r="O28" s="1016">
        <v>0</v>
      </c>
      <c r="P28" s="1016">
        <v>0</v>
      </c>
      <c r="Q28" s="1016">
        <v>0</v>
      </c>
      <c r="R28" s="1016">
        <v>0</v>
      </c>
      <c r="S28" s="1017">
        <v>0</v>
      </c>
      <c r="T28" s="1017">
        <f t="shared" si="4"/>
        <v>0</v>
      </c>
      <c r="U28" s="1017">
        <v>0</v>
      </c>
      <c r="V28" s="696"/>
      <c r="W28" s="697"/>
      <c r="X28" s="698"/>
      <c r="Y28" s="699"/>
      <c r="Z28" s="700"/>
      <c r="AA28" s="701"/>
    </row>
    <row r="29" spans="1:27" ht="15">
      <c r="A29" s="14"/>
      <c r="B29" s="38"/>
      <c r="C29" s="38"/>
      <c r="D29" s="4" t="s">
        <v>8</v>
      </c>
      <c r="E29" s="5"/>
      <c r="F29" s="5"/>
      <c r="G29" s="13" t="s">
        <v>35</v>
      </c>
      <c r="H29" s="1014">
        <v>2269224</v>
      </c>
      <c r="I29" s="1015">
        <v>2212991</v>
      </c>
      <c r="J29" s="1015">
        <v>2129014</v>
      </c>
      <c r="K29" s="1016">
        <v>1798463</v>
      </c>
      <c r="L29" s="1016">
        <v>2511891</v>
      </c>
      <c r="M29" s="1016">
        <v>2014051</v>
      </c>
      <c r="N29" s="1015">
        <v>2110446</v>
      </c>
      <c r="O29" s="1015">
        <v>2302878</v>
      </c>
      <c r="P29" s="1015">
        <v>2090801</v>
      </c>
      <c r="Q29" s="1016">
        <v>1964045</v>
      </c>
      <c r="R29" s="1016">
        <v>2018602</v>
      </c>
      <c r="S29" s="1017">
        <v>1728533</v>
      </c>
      <c r="T29" s="1017">
        <f t="shared" si="4"/>
        <v>25150939</v>
      </c>
      <c r="U29" s="1017">
        <v>45043000</v>
      </c>
      <c r="V29" s="704"/>
      <c r="W29" s="705"/>
      <c r="X29" s="706"/>
      <c r="Y29" s="707"/>
      <c r="Z29" s="708"/>
      <c r="AA29" s="709"/>
    </row>
    <row r="30" spans="1:27" ht="15">
      <c r="A30" s="14"/>
      <c r="B30" s="38"/>
      <c r="C30" s="38"/>
      <c r="D30" s="4" t="s">
        <v>9</v>
      </c>
      <c r="E30" s="5"/>
      <c r="F30" s="5"/>
      <c r="G30" s="13" t="s">
        <v>35</v>
      </c>
      <c r="H30" s="1016">
        <v>0</v>
      </c>
      <c r="I30" s="1016">
        <v>0</v>
      </c>
      <c r="J30" s="1016">
        <v>0</v>
      </c>
      <c r="K30" s="1016">
        <v>0</v>
      </c>
      <c r="L30" s="1016">
        <v>0</v>
      </c>
      <c r="M30" s="1016">
        <v>0</v>
      </c>
      <c r="N30" s="1016">
        <v>0</v>
      </c>
      <c r="O30" s="1016">
        <v>0</v>
      </c>
      <c r="P30" s="1016">
        <v>0</v>
      </c>
      <c r="Q30" s="1016">
        <v>0</v>
      </c>
      <c r="R30" s="1016">
        <v>0</v>
      </c>
      <c r="S30" s="1017">
        <v>0</v>
      </c>
      <c r="T30" s="1017">
        <f t="shared" si="4"/>
        <v>0</v>
      </c>
      <c r="U30" s="1017">
        <v>0</v>
      </c>
      <c r="V30" s="712"/>
      <c r="W30" s="713"/>
      <c r="X30" s="714"/>
      <c r="Y30" s="715"/>
      <c r="Z30" s="716"/>
      <c r="AA30" s="717"/>
    </row>
    <row r="31" spans="1:27" ht="15">
      <c r="A31" s="14"/>
      <c r="B31" s="38"/>
      <c r="C31" s="38"/>
      <c r="D31" s="4" t="s">
        <v>10</v>
      </c>
      <c r="E31" s="5"/>
      <c r="F31" s="5"/>
      <c r="G31" s="13" t="s">
        <v>35</v>
      </c>
      <c r="H31" s="1016">
        <v>0</v>
      </c>
      <c r="I31" s="1016">
        <v>0</v>
      </c>
      <c r="J31" s="1016">
        <v>0</v>
      </c>
      <c r="K31" s="1016">
        <v>0</v>
      </c>
      <c r="L31" s="1016">
        <v>0</v>
      </c>
      <c r="M31" s="1016">
        <v>0</v>
      </c>
      <c r="N31" s="1016">
        <v>0</v>
      </c>
      <c r="O31" s="1016">
        <v>0</v>
      </c>
      <c r="P31" s="1016">
        <v>0</v>
      </c>
      <c r="Q31" s="1016">
        <v>0</v>
      </c>
      <c r="R31" s="1016">
        <v>0</v>
      </c>
      <c r="S31" s="1017">
        <v>0</v>
      </c>
      <c r="T31" s="1017">
        <f t="shared" si="4"/>
        <v>0</v>
      </c>
      <c r="U31" s="1017">
        <v>0</v>
      </c>
      <c r="V31" s="720"/>
      <c r="W31" s="721"/>
      <c r="X31" s="722"/>
      <c r="Y31" s="723"/>
      <c r="Z31" s="724"/>
      <c r="AA31" s="725"/>
    </row>
    <row r="32" spans="1:27" ht="15.75" thickBot="1">
      <c r="A32" s="40"/>
      <c r="B32" s="41"/>
      <c r="C32" s="41"/>
      <c r="D32" s="34" t="s">
        <v>15</v>
      </c>
      <c r="E32" s="43"/>
      <c r="F32" s="43"/>
      <c r="G32" s="44" t="s">
        <v>35</v>
      </c>
      <c r="H32" s="1084">
        <v>9447173</v>
      </c>
      <c r="I32" s="1085">
        <v>9443749</v>
      </c>
      <c r="J32" s="1085">
        <v>9289623</v>
      </c>
      <c r="K32" s="1086">
        <v>9485743</v>
      </c>
      <c r="L32" s="1086">
        <v>9513373</v>
      </c>
      <c r="M32" s="1086">
        <v>9324563</v>
      </c>
      <c r="N32" s="1085">
        <f>9174413+330101</f>
        <v>9504514</v>
      </c>
      <c r="O32" s="1085">
        <f>9264493+354101</f>
        <v>9618594</v>
      </c>
      <c r="P32" s="1085">
        <f>9146510+343761</f>
        <v>9490271</v>
      </c>
      <c r="Q32" s="1086">
        <f>9352670+338171</f>
        <v>9690841</v>
      </c>
      <c r="R32" s="1086">
        <f>9178270+352781</f>
        <v>9531051</v>
      </c>
      <c r="S32" s="1087">
        <f>8685500+346791</f>
        <v>9032291</v>
      </c>
      <c r="T32" s="1087">
        <f t="shared" si="4"/>
        <v>113371786</v>
      </c>
      <c r="U32" s="1087">
        <v>125253000</v>
      </c>
      <c r="V32" s="728"/>
      <c r="W32" s="729"/>
      <c r="X32" s="730"/>
      <c r="Y32" s="731"/>
      <c r="Z32" s="732"/>
      <c r="AA32" s="733"/>
    </row>
    <row r="33" spans="1:27" ht="15.75" thickBot="1">
      <c r="A33" s="1138"/>
      <c r="B33" s="1139"/>
      <c r="C33" s="1139"/>
      <c r="D33" s="1139"/>
      <c r="E33" s="1139"/>
      <c r="F33" s="1139"/>
      <c r="G33" s="1139"/>
      <c r="H33" s="1141"/>
      <c r="I33" s="1141"/>
      <c r="J33" s="1141"/>
      <c r="K33" s="1141"/>
      <c r="L33" s="1141"/>
      <c r="M33" s="1141"/>
      <c r="N33" s="1141"/>
      <c r="O33" s="1141"/>
      <c r="P33" s="1141"/>
      <c r="Q33" s="1141"/>
      <c r="R33" s="1141"/>
      <c r="S33" s="1141"/>
      <c r="T33" s="1141"/>
      <c r="U33" s="1141"/>
      <c r="V33" s="1005"/>
      <c r="W33" s="1005"/>
      <c r="X33" s="1005"/>
      <c r="Y33" s="1005"/>
      <c r="Z33" s="1005"/>
      <c r="AA33" s="1005"/>
    </row>
    <row r="34" spans="1:27" ht="16.5" customHeight="1">
      <c r="A34" s="10"/>
      <c r="B34" s="11"/>
      <c r="C34" s="11"/>
      <c r="D34" s="11"/>
      <c r="E34" s="11"/>
      <c r="F34" s="11"/>
      <c r="G34" s="11"/>
      <c r="H34" s="1292" t="s">
        <v>70</v>
      </c>
      <c r="I34" s="1293"/>
      <c r="S34" s="1142"/>
      <c r="T34" s="1143"/>
      <c r="U34" s="1235"/>
      <c r="V34" s="1147"/>
      <c r="W34" s="1147"/>
      <c r="X34" s="1147"/>
      <c r="Y34" s="1147"/>
      <c r="Z34" s="1147"/>
      <c r="AA34" s="1147"/>
    </row>
    <row r="35" spans="1:27" ht="17.25" customHeight="1" thickBot="1">
      <c r="A35" s="19"/>
      <c r="B35" s="20"/>
      <c r="C35" s="20"/>
      <c r="D35" s="20"/>
      <c r="E35" s="20"/>
      <c r="F35" s="20"/>
      <c r="G35" s="20"/>
      <c r="H35" s="1314" t="s">
        <v>131</v>
      </c>
      <c r="I35" s="1315"/>
      <c r="J35" s="1005"/>
      <c r="K35" s="1005"/>
      <c r="L35" s="1005"/>
      <c r="M35" s="1005"/>
      <c r="N35" s="1147"/>
      <c r="O35" s="1147"/>
      <c r="P35" s="1147"/>
      <c r="Q35" s="1147"/>
      <c r="R35" s="1147"/>
      <c r="S35" s="1154"/>
      <c r="T35" s="1236"/>
      <c r="V35" s="94"/>
      <c r="W35" s="94"/>
      <c r="X35" s="92"/>
      <c r="Y35" s="94"/>
      <c r="Z35" s="94"/>
      <c r="AA35" s="94"/>
    </row>
    <row r="36" spans="1:27" ht="18" customHeight="1" thickTop="1">
      <c r="A36" s="39" t="s">
        <v>20</v>
      </c>
      <c r="B36" s="36"/>
      <c r="C36" s="36"/>
      <c r="D36" s="53" t="s">
        <v>16</v>
      </c>
      <c r="E36" s="54"/>
      <c r="F36" s="54"/>
      <c r="G36" s="55" t="s">
        <v>41</v>
      </c>
      <c r="H36" s="1328">
        <f t="shared" ref="H36:H42" si="5">T4/U4*100</f>
        <v>104.88602087402157</v>
      </c>
      <c r="I36" s="1329"/>
      <c r="J36" s="93"/>
      <c r="K36" s="93"/>
      <c r="L36" s="93"/>
      <c r="M36" s="93"/>
      <c r="N36" s="93"/>
      <c r="O36" s="1147"/>
      <c r="P36" s="1147"/>
      <c r="Q36" s="1147"/>
      <c r="R36" s="1147"/>
      <c r="S36" s="1147"/>
      <c r="T36" s="1147"/>
      <c r="U36" s="1147"/>
      <c r="V36" s="496"/>
      <c r="W36" s="497"/>
      <c r="X36" s="498"/>
      <c r="Y36" s="499"/>
      <c r="Z36" s="500"/>
      <c r="AA36" s="501"/>
    </row>
    <row r="37" spans="1:27" ht="15">
      <c r="A37" s="14"/>
      <c r="B37" s="38"/>
      <c r="C37" s="38"/>
      <c r="D37" s="4" t="s">
        <v>21</v>
      </c>
      <c r="E37" s="47"/>
      <c r="F37" s="47"/>
      <c r="G37" s="48" t="s">
        <v>35</v>
      </c>
      <c r="H37" s="1308">
        <f t="shared" si="5"/>
        <v>99.578564418765353</v>
      </c>
      <c r="I37" s="1309"/>
      <c r="J37" s="152"/>
      <c r="K37" s="153"/>
      <c r="L37" s="154"/>
      <c r="M37" s="155"/>
      <c r="N37" s="145"/>
      <c r="O37" s="146"/>
      <c r="P37" s="147"/>
      <c r="Q37" s="149"/>
      <c r="R37" s="150"/>
      <c r="S37" s="151"/>
      <c r="T37" s="151"/>
      <c r="U37" s="151"/>
      <c r="V37" s="504"/>
      <c r="W37" s="505"/>
      <c r="X37" s="506"/>
      <c r="Y37" s="507"/>
      <c r="Z37" s="508"/>
      <c r="AA37" s="509"/>
    </row>
    <row r="38" spans="1:27" ht="15">
      <c r="A38" s="14"/>
      <c r="B38" s="38"/>
      <c r="C38" s="38"/>
      <c r="D38" s="4" t="s">
        <v>32</v>
      </c>
      <c r="E38" s="5"/>
      <c r="F38" s="5"/>
      <c r="G38" s="13" t="s">
        <v>35</v>
      </c>
      <c r="H38" s="1308">
        <f t="shared" si="5"/>
        <v>100.92168877304353</v>
      </c>
      <c r="I38" s="1309"/>
      <c r="J38" s="164"/>
      <c r="K38" s="165"/>
      <c r="L38" s="166"/>
      <c r="M38" s="167"/>
      <c r="N38" s="157"/>
      <c r="O38" s="158"/>
      <c r="P38" s="159"/>
      <c r="Q38" s="161"/>
      <c r="R38" s="162"/>
      <c r="S38" s="163"/>
      <c r="T38" s="163"/>
      <c r="U38" s="163"/>
      <c r="V38" s="512"/>
      <c r="W38" s="513"/>
      <c r="X38" s="514"/>
      <c r="Y38" s="515"/>
      <c r="Z38" s="516"/>
      <c r="AA38" s="517"/>
    </row>
    <row r="39" spans="1:27" ht="15">
      <c r="A39" s="14"/>
      <c r="B39" s="38"/>
      <c r="C39" s="38"/>
      <c r="D39" s="4" t="s">
        <v>22</v>
      </c>
      <c r="E39" s="5"/>
      <c r="F39" s="5"/>
      <c r="G39" s="13" t="s">
        <v>35</v>
      </c>
      <c r="H39" s="1308">
        <f t="shared" si="5"/>
        <v>120.85042383876828</v>
      </c>
      <c r="I39" s="1309"/>
      <c r="J39" s="176"/>
      <c r="K39" s="177"/>
      <c r="L39" s="178"/>
      <c r="M39" s="179"/>
      <c r="N39" s="169"/>
      <c r="O39" s="170"/>
      <c r="P39" s="171"/>
      <c r="Q39" s="173"/>
      <c r="R39" s="174"/>
      <c r="S39" s="175"/>
      <c r="T39" s="175"/>
      <c r="U39" s="175"/>
      <c r="V39" s="520"/>
      <c r="W39" s="521"/>
      <c r="X39" s="522"/>
      <c r="Y39" s="523"/>
      <c r="Z39" s="524"/>
      <c r="AA39" s="525"/>
    </row>
    <row r="40" spans="1:27" ht="15">
      <c r="A40" s="14"/>
      <c r="B40" s="38"/>
      <c r="C40" s="38"/>
      <c r="D40" s="49" t="s">
        <v>23</v>
      </c>
      <c r="E40" s="36"/>
      <c r="F40" s="36"/>
      <c r="G40" s="50" t="s">
        <v>35</v>
      </c>
      <c r="H40" s="1308">
        <f t="shared" si="5"/>
        <v>102.0131638374085</v>
      </c>
      <c r="I40" s="1309"/>
      <c r="J40" s="188"/>
      <c r="K40" s="189"/>
      <c r="L40" s="190"/>
      <c r="M40" s="191"/>
      <c r="N40" s="181"/>
      <c r="O40" s="182"/>
      <c r="P40" s="183"/>
      <c r="Q40" s="185"/>
      <c r="R40" s="186"/>
      <c r="S40" s="187"/>
      <c r="T40" s="187"/>
      <c r="U40" s="187"/>
      <c r="V40" s="528"/>
      <c r="W40" s="529"/>
      <c r="X40" s="530"/>
      <c r="Y40" s="531"/>
      <c r="Z40" s="532"/>
      <c r="AA40" s="533"/>
    </row>
    <row r="41" spans="1:27" ht="15">
      <c r="A41" s="39" t="s">
        <v>2</v>
      </c>
      <c r="B41" s="36"/>
      <c r="C41" s="36"/>
      <c r="D41" s="53" t="s">
        <v>16</v>
      </c>
      <c r="E41" s="54"/>
      <c r="F41" s="54"/>
      <c r="G41" s="56" t="s">
        <v>35</v>
      </c>
      <c r="H41" s="1325">
        <f t="shared" si="5"/>
        <v>94.099910880661113</v>
      </c>
      <c r="I41" s="1326"/>
      <c r="J41" s="200"/>
      <c r="K41" s="201"/>
      <c r="L41" s="202"/>
      <c r="M41" s="203"/>
      <c r="N41" s="193"/>
      <c r="O41" s="194"/>
      <c r="P41" s="195"/>
      <c r="Q41" s="197"/>
      <c r="R41" s="198"/>
      <c r="S41" s="199"/>
      <c r="T41" s="199"/>
      <c r="U41" s="199"/>
      <c r="V41" s="536"/>
      <c r="W41" s="537"/>
      <c r="X41" s="538"/>
      <c r="Y41" s="539"/>
      <c r="Z41" s="540"/>
      <c r="AA41" s="541"/>
    </row>
    <row r="42" spans="1:27" ht="15">
      <c r="A42" s="14"/>
      <c r="B42" s="38"/>
      <c r="C42" s="38"/>
      <c r="D42" s="4" t="s">
        <v>17</v>
      </c>
      <c r="E42" s="5"/>
      <c r="F42" s="5"/>
      <c r="G42" s="13" t="s">
        <v>35</v>
      </c>
      <c r="H42" s="1308">
        <f t="shared" si="5"/>
        <v>42.530383193931144</v>
      </c>
      <c r="I42" s="1309"/>
      <c r="J42" s="212"/>
      <c r="K42" s="213"/>
      <c r="L42" s="214"/>
      <c r="M42" s="215"/>
      <c r="N42" s="205"/>
      <c r="O42" s="206"/>
      <c r="P42" s="207"/>
      <c r="Q42" s="209"/>
      <c r="R42" s="210"/>
      <c r="S42" s="211"/>
      <c r="T42" s="211"/>
      <c r="U42" s="211"/>
      <c r="V42" s="544"/>
      <c r="W42" s="545"/>
      <c r="X42" s="546"/>
      <c r="Y42" s="547"/>
      <c r="Z42" s="548"/>
      <c r="AA42" s="549"/>
    </row>
    <row r="43" spans="1:27" ht="15">
      <c r="A43" s="14"/>
      <c r="B43" s="38"/>
      <c r="C43" s="38"/>
      <c r="D43" s="4" t="s">
        <v>19</v>
      </c>
      <c r="E43" s="5"/>
      <c r="F43" s="5"/>
      <c r="G43" s="13" t="s">
        <v>35</v>
      </c>
      <c r="H43" s="1327" t="s">
        <v>77</v>
      </c>
      <c r="I43" s="1309"/>
      <c r="J43" s="224"/>
      <c r="K43" s="225"/>
      <c r="L43" s="226"/>
      <c r="M43" s="227"/>
      <c r="N43" s="217"/>
      <c r="O43" s="218"/>
      <c r="P43" s="219"/>
      <c r="Q43" s="221"/>
      <c r="R43" s="222"/>
      <c r="S43" s="223"/>
      <c r="T43" s="223"/>
      <c r="U43" s="223"/>
      <c r="V43" s="552"/>
      <c r="W43" s="553"/>
      <c r="X43" s="554"/>
      <c r="Y43" s="555"/>
      <c r="Z43" s="556"/>
      <c r="AA43" s="557"/>
    </row>
    <row r="44" spans="1:27" ht="15">
      <c r="A44" s="15"/>
      <c r="B44" s="37"/>
      <c r="C44" s="37"/>
      <c r="D44" s="4" t="s">
        <v>18</v>
      </c>
      <c r="E44" s="5"/>
      <c r="F44" s="5"/>
      <c r="G44" s="13" t="s">
        <v>35</v>
      </c>
      <c r="H44" s="1308">
        <f t="shared" ref="H44:H55" si="6">T12/U12*100</f>
        <v>95.681190616780285</v>
      </c>
      <c r="I44" s="1309"/>
      <c r="J44" s="236"/>
      <c r="K44" s="237"/>
      <c r="L44" s="238"/>
      <c r="M44" s="239"/>
      <c r="N44" s="229"/>
      <c r="O44" s="230"/>
      <c r="P44" s="231"/>
      <c r="Q44" s="233"/>
      <c r="R44" s="234"/>
      <c r="S44" s="235"/>
      <c r="T44" s="235"/>
      <c r="U44" s="235"/>
      <c r="V44" s="560"/>
      <c r="W44" s="561"/>
      <c r="X44" s="562"/>
      <c r="Y44" s="563"/>
      <c r="Z44" s="564"/>
      <c r="AA44" s="565"/>
    </row>
    <row r="45" spans="1:27" ht="15">
      <c r="A45" s="39" t="s">
        <v>1</v>
      </c>
      <c r="B45" s="36"/>
      <c r="C45" s="36"/>
      <c r="D45" s="53" t="s">
        <v>16</v>
      </c>
      <c r="E45" s="54"/>
      <c r="F45" s="54"/>
      <c r="G45" s="56" t="s">
        <v>35</v>
      </c>
      <c r="H45" s="1316">
        <f t="shared" si="6"/>
        <v>84.192434755686691</v>
      </c>
      <c r="I45" s="1317"/>
      <c r="J45" s="248"/>
      <c r="K45" s="249"/>
      <c r="L45" s="250"/>
      <c r="M45" s="251"/>
      <c r="N45" s="241"/>
      <c r="O45" s="242"/>
      <c r="P45" s="243"/>
      <c r="Q45" s="245"/>
      <c r="R45" s="246"/>
      <c r="S45" s="247"/>
      <c r="T45" s="247"/>
      <c r="U45" s="247"/>
      <c r="V45" s="568"/>
      <c r="W45" s="569"/>
      <c r="X45" s="570"/>
      <c r="Y45" s="571"/>
      <c r="Z45" s="572"/>
      <c r="AA45" s="573"/>
    </row>
    <row r="46" spans="1:27" ht="15">
      <c r="A46" s="14"/>
      <c r="B46" s="38"/>
      <c r="C46" s="38"/>
      <c r="D46" s="4" t="s">
        <v>25</v>
      </c>
      <c r="E46" s="5"/>
      <c r="F46" s="5"/>
      <c r="G46" s="13" t="s">
        <v>35</v>
      </c>
      <c r="H46" s="1308">
        <f t="shared" si="6"/>
        <v>97.374338547273766</v>
      </c>
      <c r="I46" s="1309"/>
      <c r="J46" s="260"/>
      <c r="K46" s="261"/>
      <c r="L46" s="262"/>
      <c r="M46" s="263"/>
      <c r="N46" s="253"/>
      <c r="O46" s="254"/>
      <c r="P46" s="255"/>
      <c r="Q46" s="257"/>
      <c r="R46" s="258"/>
      <c r="S46" s="259"/>
      <c r="T46" s="259"/>
      <c r="U46" s="259"/>
      <c r="V46" s="576"/>
      <c r="W46" s="577"/>
      <c r="X46" s="578"/>
      <c r="Y46" s="579"/>
      <c r="Z46" s="580"/>
      <c r="AA46" s="581"/>
    </row>
    <row r="47" spans="1:27" ht="15">
      <c r="A47" s="14"/>
      <c r="B47" s="38"/>
      <c r="C47" s="38"/>
      <c r="D47" s="4" t="s">
        <v>26</v>
      </c>
      <c r="E47" s="5"/>
      <c r="F47" s="5"/>
      <c r="G47" s="13" t="s">
        <v>35</v>
      </c>
      <c r="H47" s="1308">
        <f t="shared" si="6"/>
        <v>59.552182507000495</v>
      </c>
      <c r="I47" s="1309"/>
      <c r="J47" s="272"/>
      <c r="K47" s="273"/>
      <c r="L47" s="274"/>
      <c r="M47" s="275"/>
      <c r="N47" s="265"/>
      <c r="O47" s="266"/>
      <c r="P47" s="267"/>
      <c r="Q47" s="269"/>
      <c r="R47" s="270"/>
      <c r="S47" s="271"/>
      <c r="T47" s="271"/>
      <c r="U47" s="271"/>
      <c r="V47" s="584"/>
      <c r="W47" s="585"/>
      <c r="X47" s="586"/>
      <c r="Y47" s="587"/>
      <c r="Z47" s="588"/>
      <c r="AA47" s="589"/>
    </row>
    <row r="48" spans="1:27" ht="15">
      <c r="A48" s="14"/>
      <c r="B48" s="38"/>
      <c r="C48" s="38"/>
      <c r="D48" s="4" t="s">
        <v>27</v>
      </c>
      <c r="E48" s="5"/>
      <c r="F48" s="5"/>
      <c r="G48" s="13" t="s">
        <v>35</v>
      </c>
      <c r="H48" s="1308">
        <f t="shared" si="6"/>
        <v>66.105024503654647</v>
      </c>
      <c r="I48" s="1309"/>
      <c r="J48" s="284"/>
      <c r="K48" s="285"/>
      <c r="L48" s="286"/>
      <c r="M48" s="287"/>
      <c r="N48" s="277"/>
      <c r="O48" s="278"/>
      <c r="P48" s="279"/>
      <c r="Q48" s="281"/>
      <c r="R48" s="282"/>
      <c r="S48" s="283"/>
      <c r="T48" s="283"/>
      <c r="U48" s="283"/>
      <c r="V48" s="592"/>
      <c r="W48" s="593"/>
      <c r="X48" s="594"/>
      <c r="Y48" s="595"/>
      <c r="Z48" s="596"/>
      <c r="AA48" s="597"/>
    </row>
    <row r="49" spans="1:27" ht="15">
      <c r="A49" s="14"/>
      <c r="B49" s="38"/>
      <c r="C49" s="38"/>
      <c r="D49" s="4" t="s">
        <v>28</v>
      </c>
      <c r="E49" s="5"/>
      <c r="F49" s="5"/>
      <c r="G49" s="13" t="s">
        <v>35</v>
      </c>
      <c r="H49" s="1308">
        <f t="shared" si="6"/>
        <v>272.90102915951968</v>
      </c>
      <c r="I49" s="1309"/>
      <c r="J49" s="296"/>
      <c r="K49" s="297"/>
      <c r="L49" s="298"/>
      <c r="M49" s="299"/>
      <c r="N49" s="289"/>
      <c r="O49" s="290"/>
      <c r="P49" s="291"/>
      <c r="Q49" s="293"/>
      <c r="R49" s="294"/>
      <c r="S49" s="295"/>
      <c r="T49" s="295"/>
      <c r="U49" s="295"/>
      <c r="V49" s="600"/>
      <c r="W49" s="601"/>
      <c r="X49" s="602"/>
      <c r="Y49" s="603"/>
      <c r="Z49" s="604"/>
      <c r="AA49" s="605"/>
    </row>
    <row r="50" spans="1:27" ht="15">
      <c r="A50" s="14"/>
      <c r="B50" s="38"/>
      <c r="C50" s="38"/>
      <c r="D50" s="4" t="s">
        <v>29</v>
      </c>
      <c r="E50" s="5"/>
      <c r="F50" s="5"/>
      <c r="G50" s="13" t="s">
        <v>35</v>
      </c>
      <c r="H50" s="1308">
        <f t="shared" si="6"/>
        <v>109.84002104524728</v>
      </c>
      <c r="I50" s="1309"/>
      <c r="J50" s="308"/>
      <c r="K50" s="309"/>
      <c r="L50" s="310"/>
      <c r="M50" s="311"/>
      <c r="N50" s="301"/>
      <c r="O50" s="302"/>
      <c r="P50" s="303"/>
      <c r="Q50" s="305"/>
      <c r="R50" s="306"/>
      <c r="S50" s="307"/>
      <c r="T50" s="307"/>
      <c r="U50" s="307"/>
      <c r="V50" s="608"/>
      <c r="W50" s="609"/>
      <c r="X50" s="610"/>
      <c r="Y50" s="611"/>
      <c r="Z50" s="612"/>
      <c r="AA50" s="613"/>
    </row>
    <row r="51" spans="1:27" ht="15">
      <c r="A51" s="14"/>
      <c r="B51" s="38"/>
      <c r="C51" s="38"/>
      <c r="D51" s="4" t="s">
        <v>5</v>
      </c>
      <c r="E51" s="5"/>
      <c r="F51" s="5"/>
      <c r="G51" s="13" t="s">
        <v>35</v>
      </c>
      <c r="H51" s="1308">
        <f t="shared" si="6"/>
        <v>89.105232151289485</v>
      </c>
      <c r="I51" s="1309"/>
      <c r="J51" s="320"/>
      <c r="K51" s="321"/>
      <c r="L51" s="322"/>
      <c r="M51" s="323"/>
      <c r="N51" s="313"/>
      <c r="O51" s="314"/>
      <c r="P51" s="315"/>
      <c r="Q51" s="317"/>
      <c r="R51" s="318"/>
      <c r="S51" s="319"/>
      <c r="T51" s="319"/>
      <c r="U51" s="319"/>
      <c r="V51" s="616"/>
      <c r="W51" s="617"/>
      <c r="X51" s="618"/>
      <c r="Y51" s="619"/>
      <c r="Z51" s="620"/>
      <c r="AA51" s="621"/>
    </row>
    <row r="52" spans="1:27" ht="15">
      <c r="A52" s="14"/>
      <c r="B52" s="38"/>
      <c r="C52" s="38"/>
      <c r="D52" s="4" t="s">
        <v>6</v>
      </c>
      <c r="E52" s="5"/>
      <c r="F52" s="5"/>
      <c r="G52" s="13" t="s">
        <v>35</v>
      </c>
      <c r="H52" s="1308">
        <f t="shared" si="6"/>
        <v>34.484829879764646</v>
      </c>
      <c r="I52" s="1309"/>
      <c r="J52" s="332"/>
      <c r="K52" s="333"/>
      <c r="L52" s="334"/>
      <c r="M52" s="335"/>
      <c r="N52" s="325"/>
      <c r="O52" s="326"/>
      <c r="P52" s="327"/>
      <c r="Q52" s="329"/>
      <c r="R52" s="330"/>
      <c r="S52" s="331"/>
      <c r="T52" s="331"/>
      <c r="U52" s="331"/>
      <c r="V52" s="624"/>
      <c r="W52" s="625"/>
      <c r="X52" s="626"/>
      <c r="Y52" s="627"/>
      <c r="Z52" s="628"/>
      <c r="AA52" s="629"/>
    </row>
    <row r="53" spans="1:27" ht="15">
      <c r="A53" s="14"/>
      <c r="B53" s="38"/>
      <c r="C53" s="38"/>
      <c r="D53" s="4" t="s">
        <v>7</v>
      </c>
      <c r="E53" s="5"/>
      <c r="F53" s="5"/>
      <c r="G53" s="13" t="s">
        <v>35</v>
      </c>
      <c r="H53" s="1308">
        <f t="shared" si="6"/>
        <v>96.477513748158486</v>
      </c>
      <c r="I53" s="1309"/>
      <c r="J53" s="344"/>
      <c r="K53" s="345"/>
      <c r="L53" s="346"/>
      <c r="M53" s="347"/>
      <c r="N53" s="337"/>
      <c r="O53" s="338"/>
      <c r="P53" s="339"/>
      <c r="Q53" s="341"/>
      <c r="R53" s="342"/>
      <c r="S53" s="343"/>
      <c r="T53" s="343"/>
      <c r="U53" s="343"/>
      <c r="V53" s="632"/>
      <c r="W53" s="633"/>
      <c r="X53" s="634"/>
      <c r="Y53" s="635"/>
      <c r="Z53" s="636"/>
      <c r="AA53" s="637"/>
    </row>
    <row r="54" spans="1:27" ht="15">
      <c r="A54" s="14"/>
      <c r="B54" s="38"/>
      <c r="C54" s="38"/>
      <c r="D54" s="4" t="s">
        <v>11</v>
      </c>
      <c r="E54" s="5"/>
      <c r="F54" s="5"/>
      <c r="G54" s="13" t="s">
        <v>35</v>
      </c>
      <c r="H54" s="1308">
        <f t="shared" si="6"/>
        <v>58.964307030751904</v>
      </c>
      <c r="I54" s="1309"/>
      <c r="J54" s="356"/>
      <c r="K54" s="357"/>
      <c r="L54" s="358"/>
      <c r="M54" s="359"/>
      <c r="N54" s="349"/>
      <c r="O54" s="350"/>
      <c r="P54" s="351"/>
      <c r="Q54" s="353"/>
      <c r="R54" s="354"/>
      <c r="S54" s="355"/>
      <c r="T54" s="355"/>
      <c r="U54" s="355"/>
      <c r="V54" s="640"/>
      <c r="W54" s="641"/>
      <c r="X54" s="642"/>
      <c r="Y54" s="643"/>
      <c r="Z54" s="644"/>
      <c r="AA54" s="645"/>
    </row>
    <row r="55" spans="1:27" ht="15">
      <c r="A55" s="14"/>
      <c r="B55" s="38"/>
      <c r="C55" s="38"/>
      <c r="D55" s="4" t="s">
        <v>12</v>
      </c>
      <c r="E55" s="5"/>
      <c r="F55" s="5"/>
      <c r="G55" s="13" t="s">
        <v>35</v>
      </c>
      <c r="H55" s="1308">
        <f t="shared" si="6"/>
        <v>46.956998547471279</v>
      </c>
      <c r="I55" s="1309"/>
      <c r="J55" s="368"/>
      <c r="K55" s="369"/>
      <c r="L55" s="370"/>
      <c r="M55" s="371"/>
      <c r="N55" s="361"/>
      <c r="O55" s="362"/>
      <c r="P55" s="363"/>
      <c r="Q55" s="365"/>
      <c r="R55" s="366"/>
      <c r="S55" s="367"/>
      <c r="T55" s="367"/>
      <c r="U55" s="367"/>
      <c r="V55" s="648"/>
      <c r="W55" s="649"/>
      <c r="X55" s="650"/>
      <c r="Y55" s="651"/>
      <c r="Z55" s="652"/>
      <c r="AA55" s="653"/>
    </row>
    <row r="56" spans="1:27" ht="15">
      <c r="A56" s="14"/>
      <c r="B56" s="38"/>
      <c r="C56" s="38"/>
      <c r="D56" s="4" t="s">
        <v>13</v>
      </c>
      <c r="E56" s="5"/>
      <c r="F56" s="5"/>
      <c r="G56" s="13" t="s">
        <v>35</v>
      </c>
      <c r="H56" s="1327" t="s">
        <v>77</v>
      </c>
      <c r="I56" s="1309"/>
      <c r="J56" s="380"/>
      <c r="K56" s="381"/>
      <c r="L56" s="382"/>
      <c r="M56" s="383"/>
      <c r="N56" s="373"/>
      <c r="O56" s="374"/>
      <c r="P56" s="375"/>
      <c r="Q56" s="377"/>
      <c r="R56" s="378"/>
      <c r="S56" s="379"/>
      <c r="T56" s="379"/>
      <c r="U56" s="379"/>
      <c r="V56" s="656"/>
      <c r="W56" s="657"/>
      <c r="X56" s="658"/>
      <c r="Y56" s="659"/>
      <c r="Z56" s="660"/>
      <c r="AA56" s="661"/>
    </row>
    <row r="57" spans="1:27" ht="15">
      <c r="A57" s="14"/>
      <c r="B57" s="38"/>
      <c r="C57" s="38"/>
      <c r="D57" s="4" t="s">
        <v>14</v>
      </c>
      <c r="E57" s="5"/>
      <c r="F57" s="5"/>
      <c r="G57" s="13" t="s">
        <v>35</v>
      </c>
      <c r="H57" s="1308">
        <f t="shared" ref="H57:H65" si="7">T24/U24*100</f>
        <v>92.887792259083724</v>
      </c>
      <c r="I57" s="1309"/>
      <c r="J57" s="392"/>
      <c r="K57" s="393"/>
      <c r="L57" s="394"/>
      <c r="M57" s="395"/>
      <c r="N57" s="385"/>
      <c r="O57" s="386"/>
      <c r="P57" s="387"/>
      <c r="Q57" s="389"/>
      <c r="R57" s="390"/>
      <c r="S57" s="391"/>
      <c r="T57" s="391"/>
      <c r="U57" s="391"/>
      <c r="V57" s="664"/>
      <c r="W57" s="665"/>
      <c r="X57" s="666"/>
      <c r="Y57" s="667"/>
      <c r="Z57" s="668"/>
      <c r="AA57" s="669"/>
    </row>
    <row r="58" spans="1:27" ht="15">
      <c r="A58" s="14"/>
      <c r="B58" s="38"/>
      <c r="C58" s="38"/>
      <c r="D58" s="4" t="s">
        <v>33</v>
      </c>
      <c r="E58" s="5"/>
      <c r="F58" s="5"/>
      <c r="G58" s="13" t="s">
        <v>35</v>
      </c>
      <c r="H58" s="1308">
        <f t="shared" si="7"/>
        <v>68.520500403551253</v>
      </c>
      <c r="I58" s="1309"/>
      <c r="J58" s="404"/>
      <c r="K58" s="405"/>
      <c r="L58" s="406"/>
      <c r="M58" s="407"/>
      <c r="N58" s="397"/>
      <c r="O58" s="398"/>
      <c r="P58" s="399"/>
      <c r="Q58" s="401"/>
      <c r="R58" s="402"/>
      <c r="S58" s="403"/>
      <c r="T58" s="403"/>
      <c r="U58" s="403"/>
      <c r="V58" s="672"/>
      <c r="W58" s="673"/>
      <c r="X58" s="674"/>
      <c r="Y58" s="675"/>
      <c r="Z58" s="676"/>
      <c r="AA58" s="677"/>
    </row>
    <row r="59" spans="1:27" ht="15">
      <c r="A59" s="14"/>
      <c r="B59" s="38"/>
      <c r="C59" s="38"/>
      <c r="D59" s="4" t="s">
        <v>34</v>
      </c>
      <c r="E59" s="5"/>
      <c r="F59" s="5"/>
      <c r="G59" s="13" t="s">
        <v>35</v>
      </c>
      <c r="H59" s="1308">
        <f t="shared" si="7"/>
        <v>141.14535211267605</v>
      </c>
      <c r="I59" s="1309"/>
      <c r="J59" s="416"/>
      <c r="K59" s="417"/>
      <c r="L59" s="418"/>
      <c r="M59" s="419"/>
      <c r="N59" s="409"/>
      <c r="O59" s="410"/>
      <c r="P59" s="411"/>
      <c r="Q59" s="413"/>
      <c r="R59" s="414"/>
      <c r="S59" s="415"/>
      <c r="T59" s="415"/>
      <c r="U59" s="415"/>
      <c r="V59" s="680"/>
      <c r="W59" s="681"/>
      <c r="X59" s="682"/>
      <c r="Y59" s="683"/>
      <c r="Z59" s="684"/>
      <c r="AA59" s="685"/>
    </row>
    <row r="60" spans="1:27" ht="15">
      <c r="A60" s="14"/>
      <c r="B60" s="38"/>
      <c r="C60" s="38"/>
      <c r="D60" s="4" t="s">
        <v>3</v>
      </c>
      <c r="E60" s="5"/>
      <c r="F60" s="5"/>
      <c r="G60" s="13" t="s">
        <v>35</v>
      </c>
      <c r="H60" s="1327" t="s">
        <v>77</v>
      </c>
      <c r="I60" s="1309"/>
      <c r="J60" s="428"/>
      <c r="K60" s="429"/>
      <c r="L60" s="430"/>
      <c r="M60" s="431"/>
      <c r="N60" s="421"/>
      <c r="O60" s="422"/>
      <c r="P60" s="423"/>
      <c r="Q60" s="425"/>
      <c r="R60" s="426"/>
      <c r="S60" s="427"/>
      <c r="T60" s="427"/>
      <c r="U60" s="427"/>
      <c r="V60" s="688"/>
      <c r="W60" s="689"/>
      <c r="X60" s="690"/>
      <c r="Y60" s="691"/>
      <c r="Z60" s="692"/>
      <c r="AA60" s="693"/>
    </row>
    <row r="61" spans="1:27" ht="15">
      <c r="A61" s="14"/>
      <c r="B61" s="38"/>
      <c r="C61" s="38"/>
      <c r="D61" s="4" t="s">
        <v>4</v>
      </c>
      <c r="E61" s="5"/>
      <c r="F61" s="5"/>
      <c r="G61" s="13" t="s">
        <v>35</v>
      </c>
      <c r="H61" s="1327" t="s">
        <v>77</v>
      </c>
      <c r="I61" s="1309"/>
      <c r="J61" s="440"/>
      <c r="K61" s="441"/>
      <c r="L61" s="442"/>
      <c r="M61" s="443"/>
      <c r="N61" s="433"/>
      <c r="O61" s="434"/>
      <c r="P61" s="435"/>
      <c r="Q61" s="437"/>
      <c r="R61" s="438"/>
      <c r="S61" s="439"/>
      <c r="T61" s="439"/>
      <c r="U61" s="439"/>
      <c r="V61" s="696"/>
      <c r="W61" s="697"/>
      <c r="X61" s="698"/>
      <c r="Y61" s="699"/>
      <c r="Z61" s="700"/>
      <c r="AA61" s="701"/>
    </row>
    <row r="62" spans="1:27" ht="15">
      <c r="A62" s="14"/>
      <c r="B62" s="38"/>
      <c r="C62" s="38"/>
      <c r="D62" s="4" t="s">
        <v>8</v>
      </c>
      <c r="E62" s="5"/>
      <c r="F62" s="5"/>
      <c r="G62" s="13" t="s">
        <v>35</v>
      </c>
      <c r="H62" s="1308">
        <f t="shared" si="7"/>
        <v>55.837619607930201</v>
      </c>
      <c r="I62" s="1309"/>
      <c r="J62" s="452"/>
      <c r="K62" s="453"/>
      <c r="L62" s="454"/>
      <c r="M62" s="455"/>
      <c r="N62" s="445"/>
      <c r="O62" s="446"/>
      <c r="P62" s="447"/>
      <c r="Q62" s="449"/>
      <c r="R62" s="450"/>
      <c r="S62" s="451"/>
      <c r="T62" s="451"/>
      <c r="U62" s="451"/>
      <c r="V62" s="704"/>
      <c r="W62" s="705"/>
      <c r="X62" s="706"/>
      <c r="Y62" s="707"/>
      <c r="Z62" s="708"/>
      <c r="AA62" s="709"/>
    </row>
    <row r="63" spans="1:27" ht="15">
      <c r="A63" s="14"/>
      <c r="B63" s="38"/>
      <c r="C63" s="38"/>
      <c r="D63" s="4" t="s">
        <v>9</v>
      </c>
      <c r="E63" s="5"/>
      <c r="F63" s="5"/>
      <c r="G63" s="13" t="s">
        <v>35</v>
      </c>
      <c r="H63" s="1327" t="s">
        <v>77</v>
      </c>
      <c r="I63" s="1309"/>
      <c r="J63" s="464"/>
      <c r="K63" s="465"/>
      <c r="L63" s="466"/>
      <c r="M63" s="467"/>
      <c r="N63" s="457"/>
      <c r="O63" s="458"/>
      <c r="P63" s="459"/>
      <c r="Q63" s="461"/>
      <c r="R63" s="462"/>
      <c r="S63" s="463"/>
      <c r="T63" s="463"/>
      <c r="U63" s="463"/>
      <c r="V63" s="712"/>
      <c r="W63" s="713"/>
      <c r="X63" s="714"/>
      <c r="Y63" s="715"/>
      <c r="Z63" s="716"/>
      <c r="AA63" s="717"/>
    </row>
    <row r="64" spans="1:27" ht="15">
      <c r="A64" s="14"/>
      <c r="B64" s="38"/>
      <c r="C64" s="38"/>
      <c r="D64" s="4" t="s">
        <v>10</v>
      </c>
      <c r="E64" s="5"/>
      <c r="F64" s="5"/>
      <c r="G64" s="13" t="s">
        <v>35</v>
      </c>
      <c r="H64" s="1327" t="s">
        <v>77</v>
      </c>
      <c r="I64" s="1309"/>
      <c r="J64" s="476"/>
      <c r="K64" s="477"/>
      <c r="L64" s="478"/>
      <c r="M64" s="479"/>
      <c r="N64" s="469"/>
      <c r="O64" s="470"/>
      <c r="P64" s="471"/>
      <c r="Q64" s="473"/>
      <c r="R64" s="474"/>
      <c r="S64" s="475"/>
      <c r="T64" s="475"/>
      <c r="U64" s="475"/>
      <c r="V64" s="720"/>
      <c r="W64" s="721"/>
      <c r="X64" s="722"/>
      <c r="Y64" s="723"/>
      <c r="Z64" s="724"/>
      <c r="AA64" s="725"/>
    </row>
    <row r="65" spans="1:27" ht="15.75" thickBot="1">
      <c r="A65" s="40"/>
      <c r="B65" s="41"/>
      <c r="C65" s="41"/>
      <c r="D65" s="34" t="s">
        <v>15</v>
      </c>
      <c r="E65" s="43"/>
      <c r="F65" s="43"/>
      <c r="G65" s="44" t="s">
        <v>35</v>
      </c>
      <c r="H65" s="1323">
        <f t="shared" si="7"/>
        <v>90.514228002522884</v>
      </c>
      <c r="I65" s="1324"/>
      <c r="J65" s="488"/>
      <c r="K65" s="489"/>
      <c r="L65" s="490"/>
      <c r="M65" s="491"/>
      <c r="N65" s="481"/>
      <c r="O65" s="482"/>
      <c r="P65" s="483"/>
      <c r="Q65" s="485"/>
      <c r="R65" s="486"/>
      <c r="S65" s="487"/>
      <c r="T65" s="487"/>
      <c r="U65" s="487"/>
      <c r="V65" s="728"/>
      <c r="W65" s="729"/>
      <c r="X65" s="730"/>
      <c r="Y65" s="731"/>
      <c r="Z65" s="732"/>
      <c r="AA65" s="733"/>
    </row>
    <row r="66" spans="1:27" ht="15" customHeight="1">
      <c r="A66" s="1294" t="s">
        <v>91</v>
      </c>
      <c r="B66" s="1318"/>
      <c r="C66" s="1318"/>
      <c r="D66" s="1318"/>
      <c r="E66" s="1318"/>
      <c r="F66" s="1318"/>
      <c r="G66" s="1318"/>
      <c r="H66" s="1318"/>
      <c r="I66" s="1318"/>
      <c r="J66" s="1318"/>
      <c r="K66" s="1318"/>
      <c r="L66" s="1318"/>
      <c r="M66" s="1318"/>
      <c r="N66" s="1318"/>
      <c r="O66" s="1318"/>
      <c r="P66" s="1318"/>
      <c r="Q66" s="1318"/>
      <c r="R66" s="1318"/>
      <c r="S66" s="1318"/>
      <c r="T66" s="1318"/>
      <c r="U66" s="1318"/>
      <c r="V66" s="1318"/>
      <c r="W66" s="1318"/>
      <c r="X66" s="1318"/>
      <c r="Y66" s="1318"/>
      <c r="Z66" s="1318"/>
      <c r="AA66" s="1318"/>
    </row>
    <row r="67" spans="1:27" ht="15" customHeight="1">
      <c r="A67" s="1318"/>
      <c r="B67" s="1318"/>
      <c r="C67" s="1318"/>
      <c r="D67" s="1318"/>
      <c r="E67" s="1318"/>
      <c r="F67" s="1318"/>
      <c r="G67" s="1318"/>
      <c r="H67" s="1318"/>
      <c r="I67" s="1318"/>
      <c r="J67" s="1318"/>
      <c r="K67" s="1318"/>
      <c r="L67" s="1318"/>
      <c r="M67" s="1318"/>
      <c r="N67" s="1318"/>
      <c r="O67" s="1318"/>
      <c r="P67" s="1318"/>
      <c r="Q67" s="1318"/>
      <c r="R67" s="1318"/>
      <c r="S67" s="1318"/>
      <c r="T67" s="1318"/>
      <c r="U67" s="1318"/>
      <c r="V67" s="1318"/>
      <c r="W67" s="1318"/>
      <c r="X67" s="1318"/>
      <c r="Y67" s="1318"/>
      <c r="Z67" s="1318"/>
      <c r="AA67" s="1318"/>
    </row>
  </sheetData>
  <mergeCells count="34">
    <mergeCell ref="H62:I62"/>
    <mergeCell ref="H63:I63"/>
    <mergeCell ref="H36:I36"/>
    <mergeCell ref="H2:T2"/>
    <mergeCell ref="H34:I34"/>
    <mergeCell ref="H35:I35"/>
    <mergeCell ref="H48:I48"/>
    <mergeCell ref="H37:I37"/>
    <mergeCell ref="H38:I38"/>
    <mergeCell ref="H39:I39"/>
    <mergeCell ref="H40:I40"/>
    <mergeCell ref="H41:I41"/>
    <mergeCell ref="H42:I42"/>
    <mergeCell ref="H43:I43"/>
    <mergeCell ref="H44:I44"/>
    <mergeCell ref="H45:I45"/>
    <mergeCell ref="H46:I46"/>
    <mergeCell ref="H47:I47"/>
    <mergeCell ref="H64:I64"/>
    <mergeCell ref="H65:I65"/>
    <mergeCell ref="A66:AA67"/>
    <mergeCell ref="H60:I60"/>
    <mergeCell ref="H49:I49"/>
    <mergeCell ref="H50:I50"/>
    <mergeCell ref="H51:I51"/>
    <mergeCell ref="H52:I52"/>
    <mergeCell ref="H53:I53"/>
    <mergeCell ref="H54:I54"/>
    <mergeCell ref="H55:I55"/>
    <mergeCell ref="H56:I56"/>
    <mergeCell ref="H57:I57"/>
    <mergeCell ref="H58:I58"/>
    <mergeCell ref="H59:I59"/>
    <mergeCell ref="H61:I61"/>
  </mergeCells>
  <phoneticPr fontId="5"/>
  <pageMargins left="0.70866141732283472" right="0.70866141732283472" top="0.55118110236220474" bottom="0.35433070866141736" header="0.31496062992125984" footer="0.31496062992125984"/>
  <pageSetup paperSize="8" scale="8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64"/>
  <sheetViews>
    <sheetView view="pageBreakPreview" zoomScaleNormal="100" zoomScaleSheetLayoutView="100" workbookViewId="0">
      <selection activeCell="G50" sqref="G50"/>
    </sheetView>
  </sheetViews>
  <sheetFormatPr defaultRowHeight="11.25"/>
  <cols>
    <col min="1" max="2" width="2.75" style="1" customWidth="1"/>
    <col min="3" max="3" width="10.5" style="1" customWidth="1"/>
    <col min="4" max="4" width="10.125" style="1" customWidth="1"/>
    <col min="5" max="5" width="6.125" style="1" customWidth="1"/>
    <col min="6" max="19" width="12.125" style="1" customWidth="1"/>
    <col min="20" max="20" width="1.25" style="1" customWidth="1"/>
    <col min="21" max="16384" width="9" style="1"/>
  </cols>
  <sheetData>
    <row r="1" spans="1:21" ht="29.25" customHeight="1" thickBot="1">
      <c r="A1" s="2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6.5" customHeight="1">
      <c r="A2" s="10"/>
      <c r="B2" s="11"/>
      <c r="C2" s="11"/>
      <c r="D2" s="11"/>
      <c r="E2" s="11"/>
      <c r="F2" s="1284" t="s">
        <v>53</v>
      </c>
      <c r="G2" s="1285"/>
      <c r="H2" s="1285"/>
      <c r="I2" s="1285"/>
      <c r="J2" s="1285"/>
      <c r="K2" s="1285"/>
      <c r="L2" s="1285"/>
      <c r="M2" s="1285"/>
      <c r="N2" s="1285"/>
      <c r="O2" s="1285"/>
      <c r="P2" s="1285"/>
      <c r="Q2" s="1285"/>
      <c r="R2" s="1311"/>
      <c r="S2" s="1004" t="s">
        <v>54</v>
      </c>
      <c r="T2" s="3"/>
      <c r="U2" s="3"/>
    </row>
    <row r="3" spans="1:21" ht="15.75" thickBot="1">
      <c r="A3" s="19"/>
      <c r="B3" s="20"/>
      <c r="C3" s="20"/>
      <c r="D3" s="20"/>
      <c r="E3" s="20"/>
      <c r="F3" s="1006" t="s">
        <v>55</v>
      </c>
      <c r="G3" s="25" t="s">
        <v>56</v>
      </c>
      <c r="H3" s="25" t="s">
        <v>57</v>
      </c>
      <c r="I3" s="25" t="s">
        <v>58</v>
      </c>
      <c r="J3" s="25" t="s">
        <v>59</v>
      </c>
      <c r="K3" s="1007" t="s">
        <v>60</v>
      </c>
      <c r="L3" s="25" t="s">
        <v>61</v>
      </c>
      <c r="M3" s="25" t="s">
        <v>62</v>
      </c>
      <c r="N3" s="25" t="s">
        <v>63</v>
      </c>
      <c r="O3" s="25" t="s">
        <v>64</v>
      </c>
      <c r="P3" s="25" t="s">
        <v>66</v>
      </c>
      <c r="Q3" s="57" t="s">
        <v>68</v>
      </c>
      <c r="R3" s="1176" t="s">
        <v>69</v>
      </c>
      <c r="S3" s="1187" t="s">
        <v>69</v>
      </c>
      <c r="T3" s="3"/>
      <c r="U3" s="3"/>
    </row>
    <row r="4" spans="1:21" ht="15.75" thickTop="1">
      <c r="A4" s="1286" t="s">
        <v>164</v>
      </c>
      <c r="B4" s="1287"/>
      <c r="C4" s="1287"/>
      <c r="D4" s="1287"/>
      <c r="E4" s="1188" t="s">
        <v>163</v>
      </c>
      <c r="F4" s="1193">
        <v>17503</v>
      </c>
      <c r="G4" s="1194">
        <v>17481</v>
      </c>
      <c r="H4" s="1194">
        <v>17452</v>
      </c>
      <c r="I4" s="1194">
        <v>17420</v>
      </c>
      <c r="J4" s="1194">
        <v>17394</v>
      </c>
      <c r="K4" s="1195">
        <v>17374</v>
      </c>
      <c r="L4" s="1194">
        <v>17357</v>
      </c>
      <c r="M4" s="1194">
        <v>17333</v>
      </c>
      <c r="N4" s="1194">
        <v>17306</v>
      </c>
      <c r="O4" s="1194">
        <v>17291</v>
      </c>
      <c r="P4" s="1194">
        <v>17267</v>
      </c>
      <c r="Q4" s="1197">
        <v>17204</v>
      </c>
      <c r="R4" s="1209"/>
      <c r="S4" s="1200"/>
      <c r="T4" s="1140"/>
      <c r="U4" s="1140"/>
    </row>
    <row r="5" spans="1:21" ht="15">
      <c r="A5" s="15" t="s">
        <v>80</v>
      </c>
      <c r="B5" s="37"/>
      <c r="C5" s="37"/>
      <c r="D5" s="37"/>
      <c r="E5" s="37" t="s">
        <v>37</v>
      </c>
      <c r="F5" s="1014">
        <v>6498</v>
      </c>
      <c r="G5" s="1015">
        <v>6516</v>
      </c>
      <c r="H5" s="1015">
        <v>6531</v>
      </c>
      <c r="I5" s="1016">
        <v>6529</v>
      </c>
      <c r="J5" s="1016">
        <v>6537</v>
      </c>
      <c r="K5" s="1126">
        <v>6551</v>
      </c>
      <c r="L5" s="1015">
        <v>6555</v>
      </c>
      <c r="M5" s="1015">
        <v>6554</v>
      </c>
      <c r="N5" s="1015">
        <v>6549</v>
      </c>
      <c r="O5" s="1016">
        <v>6553</v>
      </c>
      <c r="P5" s="1016">
        <v>6557</v>
      </c>
      <c r="Q5" s="1145">
        <v>6551</v>
      </c>
      <c r="R5" s="1133">
        <v>6551</v>
      </c>
      <c r="S5" s="1180">
        <v>6543</v>
      </c>
      <c r="T5" s="3"/>
      <c r="U5" s="3"/>
    </row>
    <row r="6" spans="1:21" ht="15">
      <c r="A6" s="52" t="s">
        <v>165</v>
      </c>
      <c r="B6" s="37"/>
      <c r="C6" s="37"/>
      <c r="D6" s="37"/>
      <c r="E6" s="37" t="s">
        <v>166</v>
      </c>
      <c r="F6" s="1018">
        <f>F5/F4*100</f>
        <v>37.125064274695767</v>
      </c>
      <c r="G6" s="1018">
        <f t="shared" ref="G6:Q6" si="0">G5/G4*100</f>
        <v>37.274755448772957</v>
      </c>
      <c r="H6" s="1019">
        <f t="shared" si="0"/>
        <v>37.422644969057991</v>
      </c>
      <c r="I6" s="1019">
        <f t="shared" si="0"/>
        <v>37.479908151549942</v>
      </c>
      <c r="J6" s="1019">
        <f t="shared" si="0"/>
        <v>37.581924801655745</v>
      </c>
      <c r="K6" s="1019">
        <f t="shared" si="0"/>
        <v>37.70576723840221</v>
      </c>
      <c r="L6" s="1019">
        <f t="shared" si="0"/>
        <v>37.765742927925331</v>
      </c>
      <c r="M6" s="1019">
        <f t="shared" si="0"/>
        <v>37.812265620492703</v>
      </c>
      <c r="N6" s="1019">
        <f t="shared" si="0"/>
        <v>37.84236680919912</v>
      </c>
      <c r="O6" s="1019">
        <f t="shared" si="0"/>
        <v>37.898328610259675</v>
      </c>
      <c r="P6" s="1019">
        <f t="shared" si="0"/>
        <v>37.974170382811138</v>
      </c>
      <c r="Q6" s="1198">
        <f t="shared" si="0"/>
        <v>38.078353871192746</v>
      </c>
      <c r="R6" s="1192"/>
      <c r="S6" s="1196"/>
      <c r="T6" s="1140"/>
      <c r="U6" s="1140"/>
    </row>
    <row r="7" spans="1:21" ht="15">
      <c r="A7" s="1337" t="s">
        <v>167</v>
      </c>
      <c r="B7" s="1338"/>
      <c r="C7" s="1338"/>
      <c r="D7" s="1338"/>
      <c r="E7" s="5" t="s">
        <v>37</v>
      </c>
      <c r="F7" s="1014">
        <v>98</v>
      </c>
      <c r="G7" s="1149">
        <v>102</v>
      </c>
      <c r="H7" s="1015">
        <v>106</v>
      </c>
      <c r="I7" s="1015">
        <v>105</v>
      </c>
      <c r="J7" s="1015">
        <v>111</v>
      </c>
      <c r="K7" s="1015">
        <v>112</v>
      </c>
      <c r="L7" s="1015">
        <v>110</v>
      </c>
      <c r="M7" s="1015">
        <v>109</v>
      </c>
      <c r="N7" s="1015">
        <v>108</v>
      </c>
      <c r="O7" s="1015">
        <v>113</v>
      </c>
      <c r="P7" s="1015">
        <v>115</v>
      </c>
      <c r="Q7" s="1203">
        <v>116</v>
      </c>
      <c r="R7" s="1192"/>
      <c r="S7" s="1196"/>
      <c r="T7" s="1140"/>
      <c r="U7" s="1140"/>
    </row>
    <row r="8" spans="1:21" ht="15">
      <c r="A8" s="39" t="s">
        <v>78</v>
      </c>
      <c r="B8" s="5"/>
      <c r="C8" s="5"/>
      <c r="D8" s="5"/>
      <c r="E8" s="5" t="s">
        <v>37</v>
      </c>
      <c r="F8" s="1014">
        <v>1062</v>
      </c>
      <c r="G8" s="1015">
        <v>1065</v>
      </c>
      <c r="H8" s="1015">
        <v>1066</v>
      </c>
      <c r="I8" s="1016">
        <v>1056</v>
      </c>
      <c r="J8" s="1016">
        <v>1050</v>
      </c>
      <c r="K8" s="1126">
        <v>1052</v>
      </c>
      <c r="L8" s="1015">
        <v>1047</v>
      </c>
      <c r="M8" s="1015">
        <v>1038</v>
      </c>
      <c r="N8" s="1015">
        <v>1027</v>
      </c>
      <c r="O8" s="1016">
        <v>1016</v>
      </c>
      <c r="P8" s="1016">
        <v>1022</v>
      </c>
      <c r="Q8" s="1145">
        <v>1013</v>
      </c>
      <c r="R8" s="1133">
        <v>1052</v>
      </c>
      <c r="S8" s="1180">
        <v>1180</v>
      </c>
      <c r="T8" s="3"/>
      <c r="U8" s="3"/>
    </row>
    <row r="9" spans="1:21" ht="15">
      <c r="A9" s="1333"/>
      <c r="B9" s="1158" t="s">
        <v>143</v>
      </c>
      <c r="C9" s="1159"/>
      <c r="D9" s="1159"/>
      <c r="E9" s="1159" t="s">
        <v>37</v>
      </c>
      <c r="F9" s="1160">
        <f>SUM(F10:F13)</f>
        <v>547</v>
      </c>
      <c r="G9" s="1161">
        <f t="shared" ref="G9:R9" si="1">SUM(G10:G13)</f>
        <v>552</v>
      </c>
      <c r="H9" s="1161">
        <f t="shared" si="1"/>
        <v>555</v>
      </c>
      <c r="I9" s="1162">
        <f t="shared" si="1"/>
        <v>549</v>
      </c>
      <c r="J9" s="1162">
        <f t="shared" si="1"/>
        <v>543</v>
      </c>
      <c r="K9" s="1162">
        <f t="shared" si="1"/>
        <v>542</v>
      </c>
      <c r="L9" s="1161">
        <f t="shared" si="1"/>
        <v>537</v>
      </c>
      <c r="M9" s="1161">
        <f t="shared" si="1"/>
        <v>530</v>
      </c>
      <c r="N9" s="1161">
        <f t="shared" si="1"/>
        <v>529</v>
      </c>
      <c r="O9" s="1162">
        <f t="shared" si="1"/>
        <v>525</v>
      </c>
      <c r="P9" s="1162">
        <f t="shared" si="1"/>
        <v>527</v>
      </c>
      <c r="Q9" s="1199">
        <f t="shared" si="1"/>
        <v>524</v>
      </c>
      <c r="R9" s="1177">
        <f t="shared" si="1"/>
        <v>542</v>
      </c>
      <c r="S9" s="1181">
        <f>SUM(S10:S13)</f>
        <v>633</v>
      </c>
      <c r="T9" s="1140"/>
      <c r="U9" s="1140"/>
    </row>
    <row r="10" spans="1:21" ht="15">
      <c r="A10" s="1333"/>
      <c r="B10" s="1335"/>
      <c r="C10" s="4" t="s">
        <v>144</v>
      </c>
      <c r="D10" s="5"/>
      <c r="E10" s="5" t="s">
        <v>37</v>
      </c>
      <c r="F10" s="1014">
        <v>54</v>
      </c>
      <c r="G10" s="1015">
        <v>52</v>
      </c>
      <c r="H10" s="1015">
        <v>51</v>
      </c>
      <c r="I10" s="1016">
        <v>48</v>
      </c>
      <c r="J10" s="1016">
        <v>47</v>
      </c>
      <c r="K10" s="1126">
        <v>47</v>
      </c>
      <c r="L10" s="1015">
        <v>47</v>
      </c>
      <c r="M10" s="1015">
        <v>48</v>
      </c>
      <c r="N10" s="1015">
        <v>49</v>
      </c>
      <c r="O10" s="1016">
        <v>51</v>
      </c>
      <c r="P10" s="1016">
        <v>52</v>
      </c>
      <c r="Q10" s="1145">
        <v>58</v>
      </c>
      <c r="R10" s="1207">
        <v>47</v>
      </c>
      <c r="S10" s="1180">
        <v>77</v>
      </c>
      <c r="T10" s="1140"/>
      <c r="U10" s="1140"/>
    </row>
    <row r="11" spans="1:21" ht="15">
      <c r="A11" s="1333"/>
      <c r="B11" s="1335"/>
      <c r="C11" s="4" t="s">
        <v>145</v>
      </c>
      <c r="D11" s="5"/>
      <c r="E11" s="5" t="s">
        <v>37</v>
      </c>
      <c r="F11" s="1014">
        <v>84</v>
      </c>
      <c r="G11" s="1015">
        <v>84</v>
      </c>
      <c r="H11" s="1015">
        <v>84</v>
      </c>
      <c r="I11" s="1016">
        <v>81</v>
      </c>
      <c r="J11" s="1016">
        <v>81</v>
      </c>
      <c r="K11" s="1126">
        <v>82</v>
      </c>
      <c r="L11" s="1015">
        <v>83</v>
      </c>
      <c r="M11" s="1015">
        <v>81</v>
      </c>
      <c r="N11" s="1015">
        <v>84</v>
      </c>
      <c r="O11" s="1016">
        <v>79</v>
      </c>
      <c r="P11" s="1016">
        <v>81</v>
      </c>
      <c r="Q11" s="1145">
        <v>76</v>
      </c>
      <c r="R11" s="1207">
        <v>82</v>
      </c>
      <c r="S11" s="1180">
        <v>93</v>
      </c>
      <c r="T11" s="1140"/>
      <c r="U11" s="1140"/>
    </row>
    <row r="12" spans="1:21" ht="15">
      <c r="A12" s="1333"/>
      <c r="B12" s="1335"/>
      <c r="C12" s="4" t="s">
        <v>146</v>
      </c>
      <c r="D12" s="5"/>
      <c r="E12" s="5" t="s">
        <v>37</v>
      </c>
      <c r="F12" s="1014">
        <v>194</v>
      </c>
      <c r="G12" s="1015">
        <v>199</v>
      </c>
      <c r="H12" s="1015">
        <v>202</v>
      </c>
      <c r="I12" s="1016">
        <v>203</v>
      </c>
      <c r="J12" s="1016">
        <v>202</v>
      </c>
      <c r="K12" s="1126">
        <v>203</v>
      </c>
      <c r="L12" s="1015">
        <v>199</v>
      </c>
      <c r="M12" s="1015">
        <v>193</v>
      </c>
      <c r="N12" s="1015">
        <v>191</v>
      </c>
      <c r="O12" s="1016">
        <v>188</v>
      </c>
      <c r="P12" s="1016">
        <v>195</v>
      </c>
      <c r="Q12" s="1145">
        <v>186</v>
      </c>
      <c r="R12" s="1207">
        <v>203</v>
      </c>
      <c r="S12" s="1180">
        <v>244</v>
      </c>
      <c r="T12" s="1140"/>
      <c r="U12" s="1140"/>
    </row>
    <row r="13" spans="1:21" ht="15">
      <c r="A13" s="1333"/>
      <c r="B13" s="1336"/>
      <c r="C13" s="4" t="s">
        <v>147</v>
      </c>
      <c r="D13" s="5"/>
      <c r="E13" s="5" t="s">
        <v>37</v>
      </c>
      <c r="F13" s="1014">
        <v>215</v>
      </c>
      <c r="G13" s="1015">
        <v>217</v>
      </c>
      <c r="H13" s="1015">
        <v>218</v>
      </c>
      <c r="I13" s="1016">
        <v>217</v>
      </c>
      <c r="J13" s="1016">
        <v>213</v>
      </c>
      <c r="K13" s="1126">
        <v>210</v>
      </c>
      <c r="L13" s="1015">
        <v>208</v>
      </c>
      <c r="M13" s="1015">
        <v>208</v>
      </c>
      <c r="N13" s="1015">
        <v>205</v>
      </c>
      <c r="O13" s="1016">
        <v>207</v>
      </c>
      <c r="P13" s="1016">
        <v>199</v>
      </c>
      <c r="Q13" s="1145">
        <v>204</v>
      </c>
      <c r="R13" s="1207">
        <v>210</v>
      </c>
      <c r="S13" s="1180">
        <v>219</v>
      </c>
      <c r="T13" s="1140"/>
      <c r="U13" s="1140"/>
    </row>
    <row r="14" spans="1:21" ht="15">
      <c r="A14" s="1333"/>
      <c r="B14" s="1158" t="s">
        <v>148</v>
      </c>
      <c r="C14" s="1159"/>
      <c r="D14" s="1159"/>
      <c r="E14" s="1159" t="s">
        <v>37</v>
      </c>
      <c r="F14" s="1160">
        <f>SUM(F15:F17)</f>
        <v>515</v>
      </c>
      <c r="G14" s="1161">
        <f t="shared" ref="G14:R14" si="2">SUM(G15:G17)</f>
        <v>513</v>
      </c>
      <c r="H14" s="1161">
        <f t="shared" si="2"/>
        <v>511</v>
      </c>
      <c r="I14" s="1162">
        <f t="shared" si="2"/>
        <v>507</v>
      </c>
      <c r="J14" s="1162">
        <f t="shared" si="2"/>
        <v>507</v>
      </c>
      <c r="K14" s="1162">
        <f t="shared" si="2"/>
        <v>510</v>
      </c>
      <c r="L14" s="1161">
        <f t="shared" si="2"/>
        <v>510</v>
      </c>
      <c r="M14" s="1161">
        <f t="shared" si="2"/>
        <v>508</v>
      </c>
      <c r="N14" s="1161">
        <f t="shared" si="2"/>
        <v>498</v>
      </c>
      <c r="O14" s="1162">
        <f t="shared" si="2"/>
        <v>491</v>
      </c>
      <c r="P14" s="1162">
        <f t="shared" si="2"/>
        <v>495</v>
      </c>
      <c r="Q14" s="1199">
        <f t="shared" si="2"/>
        <v>489</v>
      </c>
      <c r="R14" s="1177">
        <f t="shared" si="2"/>
        <v>510</v>
      </c>
      <c r="S14" s="1181">
        <f>SUM(S15:S17)</f>
        <v>547</v>
      </c>
      <c r="T14" s="1140"/>
      <c r="U14" s="1140"/>
    </row>
    <row r="15" spans="1:21" ht="15">
      <c r="A15" s="1333"/>
      <c r="B15" s="1335"/>
      <c r="C15" s="4" t="s">
        <v>149</v>
      </c>
      <c r="D15" s="5"/>
      <c r="E15" s="5" t="s">
        <v>37</v>
      </c>
      <c r="F15" s="1014">
        <v>183</v>
      </c>
      <c r="G15" s="1015">
        <v>176</v>
      </c>
      <c r="H15" s="1015">
        <v>177</v>
      </c>
      <c r="I15" s="1016">
        <v>170</v>
      </c>
      <c r="J15" s="1016">
        <v>170</v>
      </c>
      <c r="K15" s="1126">
        <v>172</v>
      </c>
      <c r="L15" s="1015">
        <v>173</v>
      </c>
      <c r="M15" s="1015">
        <v>175</v>
      </c>
      <c r="N15" s="1015">
        <v>179</v>
      </c>
      <c r="O15" s="1016">
        <v>175</v>
      </c>
      <c r="P15" s="1016">
        <v>177</v>
      </c>
      <c r="Q15" s="1145">
        <v>174</v>
      </c>
      <c r="R15" s="1207">
        <v>172</v>
      </c>
      <c r="S15" s="1180">
        <v>175</v>
      </c>
      <c r="T15" s="1140"/>
      <c r="U15" s="1140"/>
    </row>
    <row r="16" spans="1:21" ht="15">
      <c r="A16" s="1333"/>
      <c r="B16" s="1335"/>
      <c r="C16" s="4" t="s">
        <v>150</v>
      </c>
      <c r="D16" s="5"/>
      <c r="E16" s="5" t="s">
        <v>37</v>
      </c>
      <c r="F16" s="1014">
        <v>172</v>
      </c>
      <c r="G16" s="1015">
        <v>177</v>
      </c>
      <c r="H16" s="1015">
        <v>176</v>
      </c>
      <c r="I16" s="1016">
        <v>181</v>
      </c>
      <c r="J16" s="1016">
        <v>178</v>
      </c>
      <c r="K16" s="1126">
        <v>181</v>
      </c>
      <c r="L16" s="1015">
        <v>183</v>
      </c>
      <c r="M16" s="1015">
        <v>176</v>
      </c>
      <c r="N16" s="1015">
        <v>170</v>
      </c>
      <c r="O16" s="1016">
        <v>172</v>
      </c>
      <c r="P16" s="1016">
        <v>174</v>
      </c>
      <c r="Q16" s="1145">
        <v>172</v>
      </c>
      <c r="R16" s="1207">
        <v>181</v>
      </c>
      <c r="S16" s="1180">
        <v>189</v>
      </c>
      <c r="T16" s="1140"/>
      <c r="U16" s="1140"/>
    </row>
    <row r="17" spans="1:21" ht="15">
      <c r="A17" s="1334"/>
      <c r="B17" s="1336"/>
      <c r="C17" s="4" t="s">
        <v>151</v>
      </c>
      <c r="D17" s="5"/>
      <c r="E17" s="5" t="s">
        <v>37</v>
      </c>
      <c r="F17" s="1014">
        <v>160</v>
      </c>
      <c r="G17" s="1015">
        <v>160</v>
      </c>
      <c r="H17" s="1015">
        <v>158</v>
      </c>
      <c r="I17" s="1016">
        <v>156</v>
      </c>
      <c r="J17" s="1016">
        <v>159</v>
      </c>
      <c r="K17" s="1126">
        <v>157</v>
      </c>
      <c r="L17" s="1015">
        <v>154</v>
      </c>
      <c r="M17" s="1015">
        <v>157</v>
      </c>
      <c r="N17" s="1015">
        <v>149</v>
      </c>
      <c r="O17" s="1016">
        <v>144</v>
      </c>
      <c r="P17" s="1016">
        <v>144</v>
      </c>
      <c r="Q17" s="1145">
        <v>143</v>
      </c>
      <c r="R17" s="1207">
        <v>157</v>
      </c>
      <c r="S17" s="1180">
        <v>183</v>
      </c>
      <c r="T17" s="1140"/>
      <c r="U17" s="1140"/>
    </row>
    <row r="18" spans="1:21" ht="15">
      <c r="A18" s="52" t="s">
        <v>81</v>
      </c>
      <c r="B18" s="5"/>
      <c r="C18" s="5"/>
      <c r="D18" s="5"/>
      <c r="E18" s="5" t="s">
        <v>37</v>
      </c>
      <c r="F18" s="1014">
        <v>31</v>
      </c>
      <c r="G18" s="1015">
        <v>32</v>
      </c>
      <c r="H18" s="1015">
        <v>32</v>
      </c>
      <c r="I18" s="1016">
        <v>32</v>
      </c>
      <c r="J18" s="1016">
        <v>31</v>
      </c>
      <c r="K18" s="1126">
        <v>30</v>
      </c>
      <c r="L18" s="1015">
        <v>30</v>
      </c>
      <c r="M18" s="1015">
        <v>31</v>
      </c>
      <c r="N18" s="1015">
        <v>30</v>
      </c>
      <c r="O18" s="1016">
        <v>31</v>
      </c>
      <c r="P18" s="1016">
        <v>34</v>
      </c>
      <c r="Q18" s="1145">
        <v>32</v>
      </c>
      <c r="R18" s="1133">
        <v>30</v>
      </c>
      <c r="S18" s="1144">
        <v>34</v>
      </c>
      <c r="T18" s="3"/>
      <c r="U18" s="3"/>
    </row>
    <row r="19" spans="1:21" ht="15">
      <c r="A19" s="1164" t="s">
        <v>79</v>
      </c>
      <c r="B19" s="1159"/>
      <c r="C19" s="1159"/>
      <c r="D19" s="1159"/>
      <c r="E19" s="1159" t="s">
        <v>43</v>
      </c>
      <c r="F19" s="1165">
        <f t="shared" ref="F19:Q19" si="3">F8/F5*100</f>
        <v>16.343490304709142</v>
      </c>
      <c r="G19" s="1166">
        <f t="shared" si="3"/>
        <v>16.344383057090241</v>
      </c>
      <c r="H19" s="1166">
        <f t="shared" si="3"/>
        <v>16.322155871995101</v>
      </c>
      <c r="I19" s="1167">
        <f t="shared" si="3"/>
        <v>16.173992954510645</v>
      </c>
      <c r="J19" s="1167">
        <f t="shared" si="3"/>
        <v>16.062413951353832</v>
      </c>
      <c r="K19" s="1167">
        <f t="shared" si="3"/>
        <v>16.058617005037398</v>
      </c>
      <c r="L19" s="1167">
        <f t="shared" si="3"/>
        <v>15.972540045766589</v>
      </c>
      <c r="M19" s="1167">
        <f t="shared" si="3"/>
        <v>15.837656393042417</v>
      </c>
      <c r="N19" s="1167">
        <f t="shared" si="3"/>
        <v>15.681783478393649</v>
      </c>
      <c r="O19" s="1167">
        <f t="shared" si="3"/>
        <v>15.504349153059668</v>
      </c>
      <c r="P19" s="1167">
        <f t="shared" si="3"/>
        <v>15.586396217782521</v>
      </c>
      <c r="Q19" s="1174">
        <f t="shared" si="3"/>
        <v>15.463288047626317</v>
      </c>
      <c r="R19" s="1210">
        <v>16.059999999999999</v>
      </c>
      <c r="S19" s="1201">
        <f>S8/S5*100</f>
        <v>18.034540730551736</v>
      </c>
      <c r="T19" s="3"/>
      <c r="U19" s="3"/>
    </row>
    <row r="20" spans="1:21" ht="15">
      <c r="A20" s="39" t="s">
        <v>89</v>
      </c>
      <c r="B20" s="5"/>
      <c r="C20" s="5"/>
      <c r="D20" s="5"/>
      <c r="E20" s="5" t="s">
        <v>37</v>
      </c>
      <c r="F20" s="1014">
        <f>SUM(F21:F23)</f>
        <v>938</v>
      </c>
      <c r="G20" s="1015">
        <f t="shared" ref="G20" si="4">SUM(G21:G23)</f>
        <v>944</v>
      </c>
      <c r="H20" s="1015">
        <f t="shared" ref="H20" si="5">SUM(H21:H23)</f>
        <v>944</v>
      </c>
      <c r="I20" s="1016">
        <f t="shared" ref="I20:K20" si="6">SUM(I21:I23)</f>
        <v>954</v>
      </c>
      <c r="J20" s="1016">
        <f t="shared" si="6"/>
        <v>942</v>
      </c>
      <c r="K20" s="1016">
        <f t="shared" si="6"/>
        <v>944</v>
      </c>
      <c r="L20" s="1016">
        <f t="shared" ref="L20:Q20" si="7">SUM(L21:L23)</f>
        <v>935</v>
      </c>
      <c r="M20" s="1016">
        <f t="shared" si="7"/>
        <v>930</v>
      </c>
      <c r="N20" s="1016">
        <f t="shared" si="7"/>
        <v>922</v>
      </c>
      <c r="O20" s="1016">
        <f t="shared" si="7"/>
        <v>926</v>
      </c>
      <c r="P20" s="1016">
        <f t="shared" si="7"/>
        <v>922</v>
      </c>
      <c r="Q20" s="1145">
        <f t="shared" si="7"/>
        <v>919</v>
      </c>
      <c r="R20" s="1133">
        <f t="shared" ref="R20" si="8">SUM(R21:R23)</f>
        <v>944</v>
      </c>
      <c r="S20" s="1144" t="s">
        <v>82</v>
      </c>
      <c r="T20" s="3"/>
      <c r="U20" s="3"/>
    </row>
    <row r="21" spans="1:21" ht="15">
      <c r="A21" s="12"/>
      <c r="B21" s="4" t="s">
        <v>20</v>
      </c>
      <c r="C21" s="5"/>
      <c r="D21" s="5"/>
      <c r="E21" s="5" t="s">
        <v>37</v>
      </c>
      <c r="F21" s="1014">
        <v>225</v>
      </c>
      <c r="G21" s="1015">
        <v>227</v>
      </c>
      <c r="H21" s="1015">
        <v>224</v>
      </c>
      <c r="I21" s="1016">
        <v>223</v>
      </c>
      <c r="J21" s="1016">
        <v>221</v>
      </c>
      <c r="K21" s="1126">
        <v>227</v>
      </c>
      <c r="L21" s="1126">
        <v>221</v>
      </c>
      <c r="M21" s="1016">
        <v>226</v>
      </c>
      <c r="N21" s="1016">
        <v>222</v>
      </c>
      <c r="O21" s="1016">
        <v>225</v>
      </c>
      <c r="P21" s="1016">
        <v>224</v>
      </c>
      <c r="Q21" s="1145">
        <v>228</v>
      </c>
      <c r="R21" s="1207">
        <v>227</v>
      </c>
      <c r="S21" s="1144" t="s">
        <v>82</v>
      </c>
      <c r="T21" s="3"/>
      <c r="U21" s="3"/>
    </row>
    <row r="22" spans="1:21" ht="15">
      <c r="A22" s="14"/>
      <c r="B22" s="4" t="s">
        <v>31</v>
      </c>
      <c r="C22" s="5"/>
      <c r="D22" s="5"/>
      <c r="E22" s="5" t="s">
        <v>37</v>
      </c>
      <c r="F22" s="1014">
        <v>58</v>
      </c>
      <c r="G22" s="1015">
        <v>57</v>
      </c>
      <c r="H22" s="1015">
        <v>60</v>
      </c>
      <c r="I22" s="1016">
        <v>58</v>
      </c>
      <c r="J22" s="1016">
        <v>58</v>
      </c>
      <c r="K22" s="1126">
        <v>56</v>
      </c>
      <c r="L22" s="1126">
        <v>54</v>
      </c>
      <c r="M22" s="1016">
        <v>57</v>
      </c>
      <c r="N22" s="1016">
        <v>55</v>
      </c>
      <c r="O22" s="1016">
        <v>60</v>
      </c>
      <c r="P22" s="1016">
        <v>56</v>
      </c>
      <c r="Q22" s="1145">
        <v>54</v>
      </c>
      <c r="R22" s="1207">
        <v>56</v>
      </c>
      <c r="S22" s="1144" t="s">
        <v>82</v>
      </c>
      <c r="T22" s="3"/>
      <c r="U22" s="3"/>
    </row>
    <row r="23" spans="1:21" ht="15">
      <c r="A23" s="15"/>
      <c r="B23" s="4" t="s">
        <v>1</v>
      </c>
      <c r="C23" s="5"/>
      <c r="D23" s="5"/>
      <c r="E23" s="5" t="s">
        <v>37</v>
      </c>
      <c r="F23" s="1014">
        <v>655</v>
      </c>
      <c r="G23" s="1015">
        <v>660</v>
      </c>
      <c r="H23" s="1015">
        <v>660</v>
      </c>
      <c r="I23" s="1016">
        <v>673</v>
      </c>
      <c r="J23" s="1016">
        <v>663</v>
      </c>
      <c r="K23" s="1126">
        <v>661</v>
      </c>
      <c r="L23" s="1126">
        <v>660</v>
      </c>
      <c r="M23" s="1016">
        <v>647</v>
      </c>
      <c r="N23" s="1016">
        <v>645</v>
      </c>
      <c r="O23" s="1016">
        <v>641</v>
      </c>
      <c r="P23" s="1016">
        <v>642</v>
      </c>
      <c r="Q23" s="1145">
        <v>637</v>
      </c>
      <c r="R23" s="1207">
        <v>661</v>
      </c>
      <c r="S23" s="1144" t="s">
        <v>82</v>
      </c>
      <c r="T23" s="3"/>
      <c r="U23" s="3"/>
    </row>
    <row r="24" spans="1:21" ht="15">
      <c r="A24" s="39" t="s">
        <v>0</v>
      </c>
      <c r="B24" s="5"/>
      <c r="C24" s="5"/>
      <c r="D24" s="5"/>
      <c r="E24" s="5" t="s">
        <v>36</v>
      </c>
      <c r="F24" s="1014">
        <f>SUM(F25:F27)</f>
        <v>159223031</v>
      </c>
      <c r="G24" s="1015">
        <f t="shared" ref="G24:J24" si="9">SUM(G25:G27)</f>
        <v>155778783</v>
      </c>
      <c r="H24" s="1015">
        <f t="shared" si="9"/>
        <v>160861396</v>
      </c>
      <c r="I24" s="1016">
        <f t="shared" si="9"/>
        <v>159297666</v>
      </c>
      <c r="J24" s="1016">
        <f t="shared" si="9"/>
        <v>163399263</v>
      </c>
      <c r="K24" s="1016">
        <f>SUM(K25:K27)</f>
        <v>161697796</v>
      </c>
      <c r="L24" s="1016">
        <f>SUM(L25:L27)</f>
        <v>158126152</v>
      </c>
      <c r="M24" s="1016">
        <f>SUM(M25:M27)</f>
        <v>158374795</v>
      </c>
      <c r="N24" s="1016">
        <f t="shared" ref="N24:Q24" si="10">SUM(N25:N27)</f>
        <v>159158633</v>
      </c>
      <c r="O24" s="1016">
        <f t="shared" si="10"/>
        <v>160288932</v>
      </c>
      <c r="P24" s="1016">
        <f t="shared" si="10"/>
        <v>156188482</v>
      </c>
      <c r="Q24" s="1145">
        <f t="shared" si="10"/>
        <v>145421826</v>
      </c>
      <c r="R24" s="1133">
        <f>SUM(F24:Q24)</f>
        <v>1897816755</v>
      </c>
      <c r="S24" s="1180">
        <v>1974353000</v>
      </c>
      <c r="T24" s="3"/>
      <c r="U24" s="3"/>
    </row>
    <row r="25" spans="1:21" ht="15">
      <c r="A25" s="12"/>
      <c r="B25" s="4" t="s">
        <v>20</v>
      </c>
      <c r="C25" s="5"/>
      <c r="D25" s="5"/>
      <c r="E25" s="5" t="s">
        <v>36</v>
      </c>
      <c r="F25" s="1014">
        <f>'総括表詳細（給付費H30）'!H4</f>
        <v>61792676</v>
      </c>
      <c r="G25" s="1015">
        <f>'総括表詳細（給付費H30）'!I4</f>
        <v>62202160</v>
      </c>
      <c r="H25" s="1015">
        <f>'総括表詳細（給付費H30）'!J4</f>
        <v>63949234</v>
      </c>
      <c r="I25" s="1016">
        <f>'総括表詳細（給付費H30）'!K4</f>
        <v>61269500</v>
      </c>
      <c r="J25" s="1016">
        <f>'総括表詳細（給付費H30）'!L4</f>
        <v>62730546</v>
      </c>
      <c r="K25" s="1016">
        <f>'総括表詳細（給付費H30）'!M4</f>
        <v>62805284</v>
      </c>
      <c r="L25" s="1016">
        <f>'総括表詳細（給付費H30）'!N4</f>
        <v>61722023</v>
      </c>
      <c r="M25" s="1016">
        <f>'総括表詳細（給付費H30）'!O4</f>
        <v>61097352</v>
      </c>
      <c r="N25" s="1016">
        <f>'総括表詳細（給付費H30）'!P4</f>
        <v>60826371</v>
      </c>
      <c r="O25" s="1016">
        <f>'総括表詳細（給付費H30）'!Q4</f>
        <v>63032332</v>
      </c>
      <c r="P25" s="1016">
        <f>'総括表詳細（給付費H30）'!R4</f>
        <v>62369969</v>
      </c>
      <c r="Q25" s="1145">
        <f>'総括表詳細（給付費H30）'!S4</f>
        <v>56112941</v>
      </c>
      <c r="R25" s="1133">
        <f>SUM(F25:Q25)</f>
        <v>739910388</v>
      </c>
      <c r="S25" s="1180">
        <v>710551000</v>
      </c>
      <c r="T25" s="3"/>
      <c r="U25" s="3"/>
    </row>
    <row r="26" spans="1:21" ht="15">
      <c r="A26" s="14"/>
      <c r="B26" s="4" t="s">
        <v>31</v>
      </c>
      <c r="C26" s="5"/>
      <c r="D26" s="5"/>
      <c r="E26" s="5" t="s">
        <v>36</v>
      </c>
      <c r="F26" s="1014">
        <f>'総括表詳細（給付費H30）'!H9</f>
        <v>14336964</v>
      </c>
      <c r="G26" s="1015">
        <f>'総括表詳細（給付費H30）'!I9</f>
        <v>13199553</v>
      </c>
      <c r="H26" s="1015">
        <f>'総括表詳細（給付費H30）'!J9</f>
        <v>13842621</v>
      </c>
      <c r="I26" s="1016">
        <f>'総括表詳細（給付費H30）'!K9</f>
        <v>14390307</v>
      </c>
      <c r="J26" s="1016">
        <f>'総括表詳細（給付費H30）'!L9</f>
        <v>14249394</v>
      </c>
      <c r="K26" s="1016">
        <f>'総括表詳細（給付費H30）'!M9</f>
        <v>14414643</v>
      </c>
      <c r="L26" s="1016">
        <f>'総括表詳細（給付費H30）'!N9</f>
        <v>13447908</v>
      </c>
      <c r="M26" s="1016">
        <f>'総括表詳細（給付費H30）'!O9</f>
        <v>13740831</v>
      </c>
      <c r="N26" s="1016">
        <f>'総括表詳細（給付費H30）'!P9</f>
        <v>15783255</v>
      </c>
      <c r="O26" s="1016">
        <f>'総括表詳細（給付費H30）'!Q9</f>
        <v>14015286</v>
      </c>
      <c r="P26" s="1016">
        <f>'総括表詳細（給付費H30）'!R9</f>
        <v>14742666</v>
      </c>
      <c r="Q26" s="1145">
        <f>'総括表詳細（給付費H30）'!S9</f>
        <v>12909996</v>
      </c>
      <c r="R26" s="1133">
        <f>SUM(F26:Q26)</f>
        <v>169073424</v>
      </c>
      <c r="S26" s="1180">
        <v>170458000</v>
      </c>
      <c r="T26" s="3"/>
      <c r="U26" s="3"/>
    </row>
    <row r="27" spans="1:21" ht="15">
      <c r="A27" s="15"/>
      <c r="B27" s="4" t="s">
        <v>1</v>
      </c>
      <c r="C27" s="5"/>
      <c r="D27" s="5"/>
      <c r="E27" s="5" t="s">
        <v>36</v>
      </c>
      <c r="F27" s="1014">
        <f>'総括表詳細（給付費H30）'!H13</f>
        <v>83093391</v>
      </c>
      <c r="G27" s="1015">
        <f>'総括表詳細（給付費H30）'!I13</f>
        <v>80377070</v>
      </c>
      <c r="H27" s="1015">
        <f>'総括表詳細（給付費H30）'!J13</f>
        <v>83069541</v>
      </c>
      <c r="I27" s="1016">
        <f>'総括表詳細（給付費H30）'!K13</f>
        <v>83637859</v>
      </c>
      <c r="J27" s="1016">
        <f>'総括表詳細（給付費H30）'!L13</f>
        <v>86419323</v>
      </c>
      <c r="K27" s="1016">
        <f>'総括表詳細（給付費H30）'!M13</f>
        <v>84477869</v>
      </c>
      <c r="L27" s="1016">
        <f>'総括表詳細（給付費H30）'!N13</f>
        <v>82956221</v>
      </c>
      <c r="M27" s="1016">
        <f>'総括表詳細（給付費H30）'!O13</f>
        <v>83536612</v>
      </c>
      <c r="N27" s="1016">
        <f>'総括表詳細（給付費H30）'!P13</f>
        <v>82549007</v>
      </c>
      <c r="O27" s="1016">
        <f>'総括表詳細（給付費H30）'!Q13</f>
        <v>83241314</v>
      </c>
      <c r="P27" s="1016">
        <f>'総括表詳細（給付費H30）'!R13</f>
        <v>79075847</v>
      </c>
      <c r="Q27" s="1145">
        <f>'総括表詳細（給付費H30）'!S13</f>
        <v>76398889</v>
      </c>
      <c r="R27" s="1133">
        <f>SUM(F27:Q27)</f>
        <v>988832943</v>
      </c>
      <c r="S27" s="1180">
        <v>1093344000</v>
      </c>
      <c r="T27" s="3"/>
      <c r="U27" s="3"/>
    </row>
    <row r="28" spans="1:21" ht="15">
      <c r="A28" s="52" t="s">
        <v>159</v>
      </c>
      <c r="B28" s="5"/>
      <c r="C28" s="5"/>
      <c r="D28" s="5"/>
      <c r="E28" s="5" t="s">
        <v>36</v>
      </c>
      <c r="F28" s="1014">
        <f t="shared" ref="F28:Q28" si="11">F24/F5</f>
        <v>24503.390427823946</v>
      </c>
      <c r="G28" s="1015">
        <f t="shared" si="11"/>
        <v>23907.118324125229</v>
      </c>
      <c r="H28" s="1015">
        <f t="shared" si="11"/>
        <v>24630.438830194456</v>
      </c>
      <c r="I28" s="1016">
        <f t="shared" si="11"/>
        <v>24398.478480624904</v>
      </c>
      <c r="J28" s="1016">
        <f t="shared" si="11"/>
        <v>24996.062872877468</v>
      </c>
      <c r="K28" s="1016">
        <f t="shared" si="11"/>
        <v>24682.91802778202</v>
      </c>
      <c r="L28" s="1016">
        <f t="shared" si="11"/>
        <v>24122.982761250954</v>
      </c>
      <c r="M28" s="1016">
        <f t="shared" si="11"/>
        <v>24164.601007018613</v>
      </c>
      <c r="N28" s="1016">
        <f t="shared" si="11"/>
        <v>24302.738280653535</v>
      </c>
      <c r="O28" s="1016">
        <f t="shared" si="11"/>
        <v>24460.389439951166</v>
      </c>
      <c r="P28" s="1016">
        <f t="shared" si="11"/>
        <v>23820.113161506786</v>
      </c>
      <c r="Q28" s="1145">
        <f t="shared" si="11"/>
        <v>22198.416424973286</v>
      </c>
      <c r="R28" s="1133">
        <f>R24/R5/12</f>
        <v>24141.565600671656</v>
      </c>
      <c r="S28" s="1180">
        <f>S24/S5/12</f>
        <v>25145.868358041673</v>
      </c>
      <c r="T28" s="3"/>
      <c r="U28" s="3"/>
    </row>
    <row r="29" spans="1:21" ht="15.75" thickBot="1">
      <c r="A29" s="40" t="s">
        <v>160</v>
      </c>
      <c r="B29" s="41"/>
      <c r="C29" s="41"/>
      <c r="D29" s="41"/>
      <c r="E29" s="41" t="s">
        <v>36</v>
      </c>
      <c r="F29" s="1084">
        <f>F24/F8</f>
        <v>149927.52448210923</v>
      </c>
      <c r="G29" s="1085">
        <f t="shared" ref="G29:P29" si="12">G24/G8</f>
        <v>146271.15774647889</v>
      </c>
      <c r="H29" s="1085">
        <f t="shared" si="12"/>
        <v>150901.87242026266</v>
      </c>
      <c r="I29" s="1086">
        <f t="shared" si="12"/>
        <v>150850.0625</v>
      </c>
      <c r="J29" s="1086">
        <f t="shared" si="12"/>
        <v>155618.34571428571</v>
      </c>
      <c r="K29" s="1086">
        <f t="shared" si="12"/>
        <v>153705.12927756654</v>
      </c>
      <c r="L29" s="1086">
        <f t="shared" si="12"/>
        <v>151027.84336198663</v>
      </c>
      <c r="M29" s="1086">
        <f t="shared" si="12"/>
        <v>152576.87379576109</v>
      </c>
      <c r="N29" s="1086">
        <f t="shared" si="12"/>
        <v>154974.32619279454</v>
      </c>
      <c r="O29" s="1086">
        <f t="shared" si="12"/>
        <v>157764.6968503937</v>
      </c>
      <c r="P29" s="1086">
        <f t="shared" si="12"/>
        <v>152826.30332681019</v>
      </c>
      <c r="Q29" s="1185">
        <f>Q24/Q8</f>
        <v>143555.60315893387</v>
      </c>
      <c r="R29" s="1186">
        <f>R24/R8/12</f>
        <v>150334.02685361216</v>
      </c>
      <c r="S29" s="1202">
        <f>S24/S8/12</f>
        <v>139431.70903954803</v>
      </c>
      <c r="T29" s="1140"/>
      <c r="U29" s="1140"/>
    </row>
    <row r="30" spans="1:21" ht="13.5" customHeight="1" thickBo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ht="16.5" customHeight="1">
      <c r="A31" s="10"/>
      <c r="B31" s="11"/>
      <c r="C31" s="11"/>
      <c r="D31" s="11"/>
      <c r="E31" s="11"/>
      <c r="F31" s="1292" t="s">
        <v>70</v>
      </c>
      <c r="G31" s="1293"/>
      <c r="H31" s="1005"/>
      <c r="I31" s="1005"/>
      <c r="J31" s="1005"/>
      <c r="K31" s="1005"/>
      <c r="L31" s="1330"/>
      <c r="M31" s="1330"/>
      <c r="N31" s="1330"/>
      <c r="O31" s="1330"/>
      <c r="P31" s="1330"/>
      <c r="Q31" s="1330"/>
      <c r="R31" s="1330"/>
      <c r="S31" s="1330"/>
      <c r="T31" s="3"/>
      <c r="U31" s="3"/>
    </row>
    <row r="32" spans="1:21" ht="15.75" thickBot="1">
      <c r="A32" s="19"/>
      <c r="B32" s="20"/>
      <c r="C32" s="20"/>
      <c r="D32" s="20"/>
      <c r="E32" s="20"/>
      <c r="F32" s="1278" t="s">
        <v>71</v>
      </c>
      <c r="G32" s="1279"/>
      <c r="H32" s="59"/>
      <c r="I32" s="59"/>
      <c r="J32" s="59"/>
      <c r="K32" s="59"/>
      <c r="L32" s="94"/>
      <c r="M32" s="94"/>
      <c r="N32" s="94"/>
      <c r="O32" s="94"/>
      <c r="P32" s="94"/>
      <c r="Q32" s="94"/>
      <c r="R32" s="94"/>
      <c r="S32" s="94"/>
      <c r="T32" s="3"/>
      <c r="U32" s="3"/>
    </row>
    <row r="33" spans="1:32" ht="15.75" thickTop="1">
      <c r="A33" s="51" t="s">
        <v>80</v>
      </c>
      <c r="B33" s="28"/>
      <c r="C33" s="28"/>
      <c r="D33" s="28"/>
      <c r="E33" s="28" t="s">
        <v>37</v>
      </c>
      <c r="F33" s="1280">
        <f>R5/S5*100</f>
        <v>100.12226807274951</v>
      </c>
      <c r="G33" s="1281"/>
      <c r="H33" s="60"/>
      <c r="I33" s="61"/>
      <c r="J33" s="62"/>
      <c r="K33" s="63"/>
      <c r="L33" s="95"/>
      <c r="M33" s="96"/>
      <c r="N33" s="97"/>
      <c r="O33" s="98"/>
      <c r="P33" s="99"/>
      <c r="Q33" s="99"/>
      <c r="R33" s="99"/>
      <c r="S33" s="100"/>
      <c r="T33" s="3"/>
      <c r="U33" s="3"/>
    </row>
    <row r="34" spans="1:32" ht="15">
      <c r="A34" s="52" t="s">
        <v>78</v>
      </c>
      <c r="B34" s="5"/>
      <c r="C34" s="5"/>
      <c r="D34" s="5"/>
      <c r="E34" s="5" t="s">
        <v>37</v>
      </c>
      <c r="F34" s="1331">
        <f>R8/S8*100</f>
        <v>89.152542372881356</v>
      </c>
      <c r="G34" s="1332"/>
      <c r="H34" s="64"/>
      <c r="I34" s="65"/>
      <c r="J34" s="66"/>
      <c r="K34" s="67"/>
      <c r="L34" s="101"/>
      <c r="M34" s="102"/>
      <c r="N34" s="103"/>
      <c r="O34" s="104"/>
      <c r="P34" s="105"/>
      <c r="Q34" s="105"/>
      <c r="R34" s="105"/>
      <c r="S34" s="106"/>
      <c r="T34" s="3"/>
      <c r="U34" s="3"/>
    </row>
    <row r="35" spans="1:32" ht="15">
      <c r="A35" s="52" t="s">
        <v>79</v>
      </c>
      <c r="B35" s="5"/>
      <c r="C35" s="5"/>
      <c r="D35" s="5"/>
      <c r="E35" s="5" t="s">
        <v>43</v>
      </c>
      <c r="F35" s="1331">
        <f>R19/S19*100</f>
        <v>89.051338983050826</v>
      </c>
      <c r="G35" s="1332"/>
      <c r="H35" s="68"/>
      <c r="I35" s="69"/>
      <c r="J35" s="70"/>
      <c r="K35" s="71"/>
      <c r="L35" s="107"/>
      <c r="M35" s="108"/>
      <c r="N35" s="109"/>
      <c r="O35" s="110"/>
      <c r="P35" s="111"/>
      <c r="Q35" s="111"/>
      <c r="R35" s="111"/>
      <c r="S35" s="112"/>
      <c r="T35" s="3"/>
      <c r="U35" s="3"/>
      <c r="AF35" s="131"/>
    </row>
    <row r="36" spans="1:32" ht="15">
      <c r="A36" s="39" t="s">
        <v>0</v>
      </c>
      <c r="B36" s="5"/>
      <c r="C36" s="5"/>
      <c r="D36" s="5"/>
      <c r="E36" s="5" t="s">
        <v>36</v>
      </c>
      <c r="F36" s="1295">
        <f>R24/S24*100</f>
        <v>96.123477159352973</v>
      </c>
      <c r="G36" s="1296"/>
      <c r="H36" s="72"/>
      <c r="I36" s="73"/>
      <c r="J36" s="74"/>
      <c r="K36" s="75"/>
      <c r="L36" s="113"/>
      <c r="M36" s="114"/>
      <c r="N36" s="115"/>
      <c r="O36" s="116"/>
      <c r="P36" s="117"/>
      <c r="Q36" s="117"/>
      <c r="R36" s="117"/>
      <c r="S36" s="118"/>
      <c r="T36" s="3"/>
      <c r="U36" s="3"/>
    </row>
    <row r="37" spans="1:32" ht="15">
      <c r="A37" s="12"/>
      <c r="B37" s="4" t="s">
        <v>20</v>
      </c>
      <c r="C37" s="5"/>
      <c r="D37" s="5"/>
      <c r="E37" s="5" t="s">
        <v>36</v>
      </c>
      <c r="F37" s="1295">
        <f t="shared" ref="F37:F39" si="13">R25/S25*100</f>
        <v>104.13191846890652</v>
      </c>
      <c r="G37" s="1296"/>
      <c r="H37" s="76"/>
      <c r="I37" s="77"/>
      <c r="J37" s="78"/>
      <c r="K37" s="79"/>
      <c r="L37" s="119"/>
      <c r="M37" s="120"/>
      <c r="N37" s="121"/>
      <c r="O37" s="122"/>
      <c r="P37" s="123"/>
      <c r="Q37" s="123"/>
      <c r="R37" s="123"/>
      <c r="S37" s="124"/>
      <c r="T37" s="3"/>
      <c r="U37" s="3"/>
    </row>
    <row r="38" spans="1:32" ht="15">
      <c r="A38" s="14"/>
      <c r="B38" s="4" t="s">
        <v>31</v>
      </c>
      <c r="C38" s="5"/>
      <c r="D38" s="5"/>
      <c r="E38" s="5" t="s">
        <v>36</v>
      </c>
      <c r="F38" s="1295">
        <f t="shared" si="13"/>
        <v>99.187731875300656</v>
      </c>
      <c r="G38" s="1296"/>
      <c r="H38" s="80"/>
      <c r="I38" s="81"/>
      <c r="J38" s="82"/>
      <c r="K38" s="83"/>
      <c r="L38" s="125"/>
      <c r="M38" s="126"/>
      <c r="N38" s="127"/>
      <c r="O38" s="128"/>
      <c r="P38" s="129"/>
      <c r="Q38" s="129"/>
      <c r="R38" s="129"/>
      <c r="S38" s="130"/>
      <c r="T38" s="3"/>
      <c r="U38" s="3"/>
    </row>
    <row r="39" spans="1:32" ht="15">
      <c r="A39" s="15"/>
      <c r="B39" s="4" t="s">
        <v>1</v>
      </c>
      <c r="C39" s="5"/>
      <c r="D39" s="5"/>
      <c r="E39" s="5" t="s">
        <v>36</v>
      </c>
      <c r="F39" s="1295">
        <f t="shared" si="13"/>
        <v>90.441155116779342</v>
      </c>
      <c r="G39" s="1296"/>
      <c r="H39" s="84"/>
      <c r="I39" s="85"/>
      <c r="J39" s="86"/>
      <c r="K39" s="87"/>
      <c r="M39" s="132"/>
      <c r="N39" s="133"/>
      <c r="O39" s="134"/>
      <c r="P39" s="135"/>
      <c r="Q39" s="135"/>
      <c r="R39" s="135"/>
      <c r="S39" s="136"/>
      <c r="T39" s="3"/>
      <c r="U39" s="3"/>
    </row>
    <row r="40" spans="1:32" ht="15">
      <c r="A40" s="52" t="s">
        <v>161</v>
      </c>
      <c r="B40" s="5"/>
      <c r="C40" s="5"/>
      <c r="D40" s="5"/>
      <c r="E40" s="5" t="s">
        <v>36</v>
      </c>
      <c r="F40" s="1295">
        <f>R28/S28*100</f>
        <v>96.006092360501682</v>
      </c>
      <c r="G40" s="1296"/>
      <c r="H40" s="88"/>
      <c r="I40" s="89"/>
      <c r="J40" s="90"/>
      <c r="K40" s="91"/>
      <c r="L40" s="137"/>
      <c r="M40" s="138"/>
      <c r="N40" s="139"/>
      <c r="O40" s="140"/>
      <c r="P40" s="141"/>
      <c r="Q40" s="141"/>
      <c r="R40" s="141"/>
      <c r="S40" s="142"/>
      <c r="T40" s="1140"/>
      <c r="U40" s="1140"/>
    </row>
    <row r="41" spans="1:32" ht="15.75" thickBot="1">
      <c r="A41" s="40" t="s">
        <v>162</v>
      </c>
      <c r="B41" s="41"/>
      <c r="C41" s="41"/>
      <c r="D41" s="41"/>
      <c r="E41" s="41" t="s">
        <v>36</v>
      </c>
      <c r="F41" s="1297">
        <f>R29/S29*100</f>
        <v>107.81910936125141</v>
      </c>
      <c r="G41" s="1298"/>
      <c r="H41" s="88"/>
      <c r="I41" s="89"/>
      <c r="J41" s="90"/>
      <c r="K41" s="91"/>
      <c r="L41" s="137"/>
      <c r="M41" s="138"/>
      <c r="N41" s="139"/>
      <c r="O41" s="140"/>
      <c r="P41" s="141"/>
      <c r="Q41" s="141"/>
      <c r="R41" s="141"/>
      <c r="S41" s="142"/>
      <c r="T41" s="3"/>
      <c r="U41" s="3"/>
    </row>
    <row r="42" spans="1:32" ht="13.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32" ht="15" customHeight="1">
      <c r="A43" s="1294" t="s">
        <v>90</v>
      </c>
      <c r="B43" s="1318"/>
      <c r="C43" s="1318"/>
      <c r="D43" s="1318"/>
      <c r="E43" s="1318"/>
      <c r="F43" s="1318"/>
      <c r="G43" s="1318"/>
      <c r="H43" s="1318"/>
      <c r="I43" s="1318"/>
      <c r="J43" s="1318"/>
      <c r="K43" s="1318"/>
      <c r="L43" s="1318"/>
      <c r="M43" s="1318"/>
      <c r="N43" s="1318"/>
      <c r="O43" s="1318"/>
      <c r="P43" s="1318"/>
      <c r="Q43" s="1318"/>
      <c r="R43" s="1318"/>
      <c r="S43" s="1318"/>
      <c r="T43" s="3"/>
      <c r="U43" s="3"/>
    </row>
    <row r="44" spans="1:32" ht="15">
      <c r="A44" s="1318"/>
      <c r="B44" s="1318"/>
      <c r="C44" s="1318"/>
      <c r="D44" s="1318"/>
      <c r="E44" s="1318"/>
      <c r="F44" s="1318"/>
      <c r="G44" s="1318"/>
      <c r="H44" s="1318"/>
      <c r="I44" s="1318"/>
      <c r="J44" s="1318"/>
      <c r="K44" s="1318"/>
      <c r="L44" s="1318"/>
      <c r="M44" s="1318"/>
      <c r="N44" s="1318"/>
      <c r="O44" s="1318"/>
      <c r="P44" s="1318"/>
      <c r="Q44" s="1318"/>
      <c r="R44" s="1318"/>
      <c r="S44" s="1318"/>
      <c r="T44" s="3"/>
      <c r="U44" s="3"/>
    </row>
    <row r="45" spans="1:32" ht="15">
      <c r="A45" s="1318"/>
      <c r="B45" s="1318"/>
      <c r="C45" s="1318"/>
      <c r="D45" s="1318"/>
      <c r="E45" s="1318"/>
      <c r="F45" s="1318"/>
      <c r="G45" s="1318"/>
      <c r="H45" s="1318"/>
      <c r="I45" s="1318"/>
      <c r="J45" s="1318"/>
      <c r="K45" s="1318"/>
      <c r="L45" s="1318"/>
      <c r="M45" s="1318"/>
      <c r="N45" s="1318"/>
      <c r="O45" s="1318"/>
      <c r="P45" s="1318"/>
      <c r="Q45" s="1318"/>
      <c r="R45" s="1318"/>
      <c r="S45" s="1318"/>
      <c r="T45" s="3"/>
      <c r="U45" s="3"/>
    </row>
    <row r="46" spans="1:32" ht="16.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32" ht="16.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32" ht="16.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 ht="16.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 ht="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 ht="1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 ht="1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 ht="16.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 ht="1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 ht="1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 ht="15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 ht="15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 ht="15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 ht="1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 ht="15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 ht="15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ht="1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ht="15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ht="1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</sheetData>
  <mergeCells count="19">
    <mergeCell ref="A4:D4"/>
    <mergeCell ref="F2:R2"/>
    <mergeCell ref="F31:G31"/>
    <mergeCell ref="F32:G32"/>
    <mergeCell ref="F33:G33"/>
    <mergeCell ref="A7:D7"/>
    <mergeCell ref="F34:G34"/>
    <mergeCell ref="A9:A17"/>
    <mergeCell ref="F40:G40"/>
    <mergeCell ref="F41:G41"/>
    <mergeCell ref="L31:S31"/>
    <mergeCell ref="B15:B17"/>
    <mergeCell ref="B10:B13"/>
    <mergeCell ref="A43:S45"/>
    <mergeCell ref="F35:G35"/>
    <mergeCell ref="F36:G36"/>
    <mergeCell ref="F37:G37"/>
    <mergeCell ref="F38:G38"/>
    <mergeCell ref="F39:G39"/>
  </mergeCells>
  <phoneticPr fontId="5"/>
  <pageMargins left="0.51181102362204722" right="0.51181102362204722" top="0.74803149606299213" bottom="0.74803149606299213" header="0.31496062992125984" footer="0.31496062992125984"/>
  <pageSetup paperSize="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65"/>
  <sheetViews>
    <sheetView view="pageBreakPreview" zoomScaleNormal="100" zoomScaleSheetLayoutView="100" workbookViewId="0">
      <pane xSplit="7" topLeftCell="M1" activePane="topRight" state="frozen"/>
      <selection activeCell="S29" sqref="S29"/>
      <selection pane="topRight" activeCell="S29" sqref="S29"/>
    </sheetView>
  </sheetViews>
  <sheetFormatPr defaultRowHeight="11.25"/>
  <cols>
    <col min="1" max="1" width="2.75" style="1" customWidth="1"/>
    <col min="2" max="3" width="6.625" style="1" customWidth="1"/>
    <col min="4" max="4" width="9.875" style="1" customWidth="1"/>
    <col min="5" max="5" width="11.625" style="1" customWidth="1"/>
    <col min="6" max="6" width="13.125" style="1" customWidth="1"/>
    <col min="7" max="7" width="6.125" style="1" customWidth="1"/>
    <col min="8" max="19" width="11" style="1" customWidth="1"/>
    <col min="20" max="21" width="12.125" style="1" customWidth="1"/>
    <col min="22" max="16384" width="9" style="1"/>
  </cols>
  <sheetData>
    <row r="1" spans="1:21" ht="29.25" customHeight="1" thickBot="1">
      <c r="A1" s="2" t="s">
        <v>73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1" ht="16.5" customHeight="1">
      <c r="A2" s="10"/>
      <c r="B2" s="11"/>
      <c r="C2" s="11"/>
      <c r="D2" s="11"/>
      <c r="E2" s="11"/>
      <c r="F2" s="11"/>
      <c r="G2" s="11"/>
      <c r="H2" s="1284" t="s">
        <v>74</v>
      </c>
      <c r="I2" s="1285"/>
      <c r="J2" s="1285"/>
      <c r="K2" s="1285"/>
      <c r="L2" s="1285"/>
      <c r="M2" s="1285"/>
      <c r="N2" s="1285"/>
      <c r="O2" s="1285"/>
      <c r="P2" s="1285"/>
      <c r="Q2" s="1285"/>
      <c r="R2" s="1285"/>
      <c r="S2" s="1285"/>
      <c r="T2" s="1311"/>
      <c r="U2" s="1130" t="s">
        <v>54</v>
      </c>
    </row>
    <row r="3" spans="1:21" ht="15.75" thickBot="1">
      <c r="A3" s="23"/>
      <c r="B3" s="24"/>
      <c r="C3" s="24"/>
      <c r="D3" s="24"/>
      <c r="E3" s="24"/>
      <c r="F3" s="24"/>
      <c r="G3" s="24"/>
      <c r="H3" s="1125" t="s">
        <v>55</v>
      </c>
      <c r="I3" s="1088" t="s">
        <v>56</v>
      </c>
      <c r="J3" s="1088" t="s">
        <v>57</v>
      </c>
      <c r="K3" s="1088" t="s">
        <v>58</v>
      </c>
      <c r="L3" s="1088" t="s">
        <v>59</v>
      </c>
      <c r="M3" s="1088" t="s">
        <v>60</v>
      </c>
      <c r="N3" s="1088" t="s">
        <v>61</v>
      </c>
      <c r="O3" s="1088" t="s">
        <v>62</v>
      </c>
      <c r="P3" s="1088" t="s">
        <v>63</v>
      </c>
      <c r="Q3" s="1088" t="s">
        <v>64</v>
      </c>
      <c r="R3" s="1088" t="s">
        <v>65</v>
      </c>
      <c r="S3" s="1089" t="s">
        <v>67</v>
      </c>
      <c r="T3" s="1089" t="s">
        <v>69</v>
      </c>
      <c r="U3" s="1131" t="s">
        <v>69</v>
      </c>
    </row>
    <row r="4" spans="1:21" ht="15">
      <c r="A4" s="1299" t="s">
        <v>20</v>
      </c>
      <c r="B4" s="1300"/>
      <c r="C4" s="1301"/>
      <c r="D4" s="1093" t="s">
        <v>16</v>
      </c>
      <c r="E4" s="1094"/>
      <c r="F4" s="1094"/>
      <c r="G4" s="1094" t="s">
        <v>37</v>
      </c>
      <c r="H4" s="1096">
        <f t="shared" ref="H4:J4" si="0">SUM(H5:H8)</f>
        <v>224</v>
      </c>
      <c r="I4" s="1097">
        <f t="shared" si="0"/>
        <v>228</v>
      </c>
      <c r="J4" s="1097">
        <f t="shared" si="0"/>
        <v>229</v>
      </c>
      <c r="K4" s="1098">
        <f>SUM(K5:K8)</f>
        <v>227</v>
      </c>
      <c r="L4" s="1098">
        <f t="shared" ref="L4:S4" si="1">SUM(L5:L8)</f>
        <v>223</v>
      </c>
      <c r="M4" s="1098">
        <f>SUM(M5:M8)</f>
        <v>223</v>
      </c>
      <c r="N4" s="1097">
        <f t="shared" si="1"/>
        <v>226</v>
      </c>
      <c r="O4" s="1097">
        <f t="shared" si="1"/>
        <v>221</v>
      </c>
      <c r="P4" s="1097">
        <f t="shared" si="1"/>
        <v>227</v>
      </c>
      <c r="Q4" s="1098">
        <f t="shared" si="1"/>
        <v>225</v>
      </c>
      <c r="R4" s="1098">
        <f t="shared" si="1"/>
        <v>230</v>
      </c>
      <c r="S4" s="1099">
        <f t="shared" si="1"/>
        <v>227</v>
      </c>
      <c r="T4" s="1099">
        <f>SUM(H4:S4)</f>
        <v>2710</v>
      </c>
      <c r="U4" s="1132">
        <f>SUM(U5:U8)</f>
        <v>2664</v>
      </c>
    </row>
    <row r="5" spans="1:21" ht="15">
      <c r="A5" s="1302"/>
      <c r="B5" s="1303"/>
      <c r="C5" s="1304"/>
      <c r="D5" s="49" t="s">
        <v>21</v>
      </c>
      <c r="E5" s="45"/>
      <c r="F5" s="45"/>
      <c r="G5" s="45" t="s">
        <v>37</v>
      </c>
      <c r="H5" s="1014">
        <v>98</v>
      </c>
      <c r="I5" s="1015">
        <v>96</v>
      </c>
      <c r="J5" s="1015">
        <v>96</v>
      </c>
      <c r="K5" s="1016">
        <v>97</v>
      </c>
      <c r="L5" s="1016">
        <v>96</v>
      </c>
      <c r="M5" s="1016">
        <v>96</v>
      </c>
      <c r="N5" s="1015">
        <v>96</v>
      </c>
      <c r="O5" s="1015">
        <v>95</v>
      </c>
      <c r="P5" s="1015">
        <v>96</v>
      </c>
      <c r="Q5" s="1016">
        <v>95</v>
      </c>
      <c r="R5" s="1016">
        <v>97</v>
      </c>
      <c r="S5" s="1017">
        <v>94</v>
      </c>
      <c r="T5" s="1017">
        <f t="shared" ref="T5:T32" si="2">SUM(H5:S5)</f>
        <v>1152</v>
      </c>
      <c r="U5" s="1133">
        <v>1212</v>
      </c>
    </row>
    <row r="6" spans="1:21" ht="15">
      <c r="A6" s="1302"/>
      <c r="B6" s="1303"/>
      <c r="C6" s="1304"/>
      <c r="D6" s="4" t="s">
        <v>42</v>
      </c>
      <c r="E6" s="5"/>
      <c r="F6" s="5"/>
      <c r="G6" s="5" t="s">
        <v>37</v>
      </c>
      <c r="H6" s="1014">
        <v>57</v>
      </c>
      <c r="I6" s="1015">
        <v>58</v>
      </c>
      <c r="J6" s="1015">
        <v>60</v>
      </c>
      <c r="K6" s="1016">
        <v>59</v>
      </c>
      <c r="L6" s="1016">
        <v>59</v>
      </c>
      <c r="M6" s="1016">
        <v>60</v>
      </c>
      <c r="N6" s="1015">
        <v>63</v>
      </c>
      <c r="O6" s="1015">
        <v>61</v>
      </c>
      <c r="P6" s="1015">
        <v>60</v>
      </c>
      <c r="Q6" s="1016">
        <v>59</v>
      </c>
      <c r="R6" s="1016">
        <v>60</v>
      </c>
      <c r="S6" s="1017">
        <v>59</v>
      </c>
      <c r="T6" s="1017">
        <f t="shared" si="2"/>
        <v>715</v>
      </c>
      <c r="U6" s="1133">
        <v>732</v>
      </c>
    </row>
    <row r="7" spans="1:21" ht="15">
      <c r="A7" s="1302"/>
      <c r="B7" s="1303"/>
      <c r="C7" s="1304"/>
      <c r="D7" s="4" t="s">
        <v>22</v>
      </c>
      <c r="E7" s="5"/>
      <c r="F7" s="5"/>
      <c r="G7" s="5" t="s">
        <v>37</v>
      </c>
      <c r="H7" s="1014">
        <v>59</v>
      </c>
      <c r="I7" s="1015">
        <v>63</v>
      </c>
      <c r="J7" s="1015">
        <v>60</v>
      </c>
      <c r="K7" s="1016">
        <v>59</v>
      </c>
      <c r="L7" s="1016">
        <v>56</v>
      </c>
      <c r="M7" s="1016">
        <v>58</v>
      </c>
      <c r="N7" s="1015">
        <v>58</v>
      </c>
      <c r="O7" s="1015">
        <v>55</v>
      </c>
      <c r="P7" s="1015">
        <v>60</v>
      </c>
      <c r="Q7" s="1016">
        <v>61</v>
      </c>
      <c r="R7" s="1016">
        <v>60</v>
      </c>
      <c r="S7" s="1017">
        <v>60</v>
      </c>
      <c r="T7" s="1017">
        <f t="shared" si="2"/>
        <v>709</v>
      </c>
      <c r="U7" s="1133">
        <v>576</v>
      </c>
    </row>
    <row r="8" spans="1:21" ht="15.75" thickBot="1">
      <c r="A8" s="1305"/>
      <c r="B8" s="1306"/>
      <c r="C8" s="1307"/>
      <c r="D8" s="34" t="s">
        <v>23</v>
      </c>
      <c r="E8" s="43"/>
      <c r="F8" s="43"/>
      <c r="G8" s="43" t="s">
        <v>37</v>
      </c>
      <c r="H8" s="1020">
        <v>10</v>
      </c>
      <c r="I8" s="1021">
        <v>11</v>
      </c>
      <c r="J8" s="1021">
        <v>13</v>
      </c>
      <c r="K8" s="1022">
        <v>12</v>
      </c>
      <c r="L8" s="1022">
        <v>12</v>
      </c>
      <c r="M8" s="1022">
        <v>9</v>
      </c>
      <c r="N8" s="1021">
        <v>9</v>
      </c>
      <c r="O8" s="1021">
        <v>10</v>
      </c>
      <c r="P8" s="1021">
        <v>11</v>
      </c>
      <c r="Q8" s="1022">
        <v>10</v>
      </c>
      <c r="R8" s="1022">
        <v>13</v>
      </c>
      <c r="S8" s="1023">
        <v>14</v>
      </c>
      <c r="T8" s="1023">
        <f t="shared" si="2"/>
        <v>134</v>
      </c>
      <c r="U8" s="1134">
        <v>144</v>
      </c>
    </row>
    <row r="9" spans="1:21" ht="15">
      <c r="A9" s="1299" t="s">
        <v>2</v>
      </c>
      <c r="B9" s="1300"/>
      <c r="C9" s="1301"/>
      <c r="D9" s="1093" t="s">
        <v>16</v>
      </c>
      <c r="E9" s="1094"/>
      <c r="F9" s="1094"/>
      <c r="G9" s="1094" t="s">
        <v>37</v>
      </c>
      <c r="H9" s="1096">
        <f t="shared" ref="H9:J9" si="3">SUM(H10:H12)</f>
        <v>59</v>
      </c>
      <c r="I9" s="1097">
        <f t="shared" si="3"/>
        <v>58</v>
      </c>
      <c r="J9" s="1097">
        <f t="shared" si="3"/>
        <v>57</v>
      </c>
      <c r="K9" s="1098">
        <f>SUM(K10:K12)</f>
        <v>56</v>
      </c>
      <c r="L9" s="1098">
        <f t="shared" ref="L9:S9" si="4">SUM(L10:L12)</f>
        <v>58</v>
      </c>
      <c r="M9" s="1098">
        <f t="shared" si="4"/>
        <v>59</v>
      </c>
      <c r="N9" s="1097">
        <f t="shared" si="4"/>
        <v>56</v>
      </c>
      <c r="O9" s="1097">
        <f t="shared" si="4"/>
        <v>55</v>
      </c>
      <c r="P9" s="1097">
        <f t="shared" si="4"/>
        <v>63</v>
      </c>
      <c r="Q9" s="1098">
        <f t="shared" si="4"/>
        <v>55</v>
      </c>
      <c r="R9" s="1098">
        <f t="shared" si="4"/>
        <v>61</v>
      </c>
      <c r="S9" s="1099">
        <f t="shared" si="4"/>
        <v>56</v>
      </c>
      <c r="T9" s="1099">
        <f t="shared" si="2"/>
        <v>693</v>
      </c>
      <c r="U9" s="1132">
        <f>SUM(U10:U12)</f>
        <v>696</v>
      </c>
    </row>
    <row r="10" spans="1:21" ht="15">
      <c r="A10" s="1302"/>
      <c r="B10" s="1303"/>
      <c r="C10" s="1304"/>
      <c r="D10" s="4" t="s">
        <v>17</v>
      </c>
      <c r="E10" s="5"/>
      <c r="F10" s="5"/>
      <c r="G10" s="5" t="s">
        <v>37</v>
      </c>
      <c r="H10" s="1014">
        <v>1</v>
      </c>
      <c r="I10" s="1015">
        <v>1</v>
      </c>
      <c r="J10" s="1015">
        <v>1</v>
      </c>
      <c r="K10" s="1016">
        <v>2</v>
      </c>
      <c r="L10" s="1016">
        <v>2</v>
      </c>
      <c r="M10" s="1016">
        <v>2</v>
      </c>
      <c r="N10" s="1015">
        <v>2</v>
      </c>
      <c r="O10" s="1015">
        <v>3</v>
      </c>
      <c r="P10" s="1015">
        <v>3</v>
      </c>
      <c r="Q10" s="1016">
        <v>2</v>
      </c>
      <c r="R10" s="1016">
        <v>2</v>
      </c>
      <c r="S10" s="1017">
        <v>2</v>
      </c>
      <c r="T10" s="1017">
        <f t="shared" si="2"/>
        <v>23</v>
      </c>
      <c r="U10" s="1133">
        <v>24</v>
      </c>
    </row>
    <row r="11" spans="1:21" ht="15">
      <c r="A11" s="1302"/>
      <c r="B11" s="1303"/>
      <c r="C11" s="1304"/>
      <c r="D11" s="4" t="s">
        <v>19</v>
      </c>
      <c r="E11" s="5"/>
      <c r="F11" s="5"/>
      <c r="G11" s="5" t="s">
        <v>37</v>
      </c>
      <c r="H11" s="1014">
        <v>0</v>
      </c>
      <c r="I11" s="1015">
        <v>0</v>
      </c>
      <c r="J11" s="1015">
        <v>0</v>
      </c>
      <c r="K11" s="1016">
        <v>0</v>
      </c>
      <c r="L11" s="1016">
        <v>0</v>
      </c>
      <c r="M11" s="1016">
        <v>0</v>
      </c>
      <c r="N11" s="1015">
        <v>0</v>
      </c>
      <c r="O11" s="1015">
        <v>0</v>
      </c>
      <c r="P11" s="1015">
        <v>0</v>
      </c>
      <c r="Q11" s="1016">
        <v>0</v>
      </c>
      <c r="R11" s="1016">
        <v>0</v>
      </c>
      <c r="S11" s="1017">
        <v>0</v>
      </c>
      <c r="T11" s="1017">
        <f t="shared" si="2"/>
        <v>0</v>
      </c>
      <c r="U11" s="1133">
        <v>0</v>
      </c>
    </row>
    <row r="12" spans="1:21" ht="15.75" thickBot="1">
      <c r="A12" s="1305"/>
      <c r="B12" s="1306"/>
      <c r="C12" s="1307"/>
      <c r="D12" s="34" t="s">
        <v>18</v>
      </c>
      <c r="E12" s="43"/>
      <c r="F12" s="43"/>
      <c r="G12" s="43" t="s">
        <v>37</v>
      </c>
      <c r="H12" s="1020">
        <v>58</v>
      </c>
      <c r="I12" s="1021">
        <v>57</v>
      </c>
      <c r="J12" s="1021">
        <v>56</v>
      </c>
      <c r="K12" s="1022">
        <v>54</v>
      </c>
      <c r="L12" s="1022">
        <v>56</v>
      </c>
      <c r="M12" s="1022">
        <v>57</v>
      </c>
      <c r="N12" s="1021">
        <v>54</v>
      </c>
      <c r="O12" s="1021">
        <v>52</v>
      </c>
      <c r="P12" s="1021">
        <v>60</v>
      </c>
      <c r="Q12" s="1022">
        <v>53</v>
      </c>
      <c r="R12" s="1022">
        <v>59</v>
      </c>
      <c r="S12" s="1023">
        <v>54</v>
      </c>
      <c r="T12" s="1023">
        <f t="shared" si="2"/>
        <v>670</v>
      </c>
      <c r="U12" s="1134">
        <v>672</v>
      </c>
    </row>
    <row r="13" spans="1:21" ht="15">
      <c r="A13" s="1169" t="s">
        <v>152</v>
      </c>
      <c r="B13" s="1170"/>
      <c r="C13" s="1171"/>
      <c r="D13" s="1093" t="s">
        <v>153</v>
      </c>
      <c r="E13" s="1094" t="s">
        <v>155</v>
      </c>
      <c r="F13" s="1094"/>
      <c r="G13" s="1094" t="s">
        <v>154</v>
      </c>
      <c r="H13" s="1096">
        <f>SUM(H14:H31)</f>
        <v>1349</v>
      </c>
      <c r="I13" s="1097">
        <f t="shared" ref="I13:U13" si="5">SUM(I14:I31)</f>
        <v>1359</v>
      </c>
      <c r="J13" s="1097">
        <f t="shared" si="5"/>
        <v>1385</v>
      </c>
      <c r="K13" s="1098">
        <f t="shared" si="5"/>
        <v>1407</v>
      </c>
      <c r="L13" s="1098">
        <f t="shared" si="5"/>
        <v>1440</v>
      </c>
      <c r="M13" s="1098">
        <f t="shared" si="5"/>
        <v>1395</v>
      </c>
      <c r="N13" s="1097">
        <f t="shared" si="5"/>
        <v>1415</v>
      </c>
      <c r="O13" s="1097">
        <f t="shared" si="5"/>
        <v>1411</v>
      </c>
      <c r="P13" s="1097">
        <f t="shared" si="5"/>
        <v>1386</v>
      </c>
      <c r="Q13" s="1098">
        <f t="shared" si="5"/>
        <v>1390</v>
      </c>
      <c r="R13" s="1098">
        <f t="shared" si="5"/>
        <v>1337</v>
      </c>
      <c r="S13" s="1099">
        <f t="shared" si="5"/>
        <v>1369</v>
      </c>
      <c r="T13" s="1182">
        <f t="shared" si="5"/>
        <v>16643</v>
      </c>
      <c r="U13" s="1132">
        <f t="shared" si="5"/>
        <v>17052</v>
      </c>
    </row>
    <row r="14" spans="1:21" ht="15">
      <c r="A14" s="29"/>
      <c r="B14" s="8"/>
      <c r="C14" s="9"/>
      <c r="D14" s="1100" t="s">
        <v>25</v>
      </c>
      <c r="E14" s="37"/>
      <c r="F14" s="37"/>
      <c r="G14" s="37" t="s">
        <v>37</v>
      </c>
      <c r="H14" s="1009">
        <v>196</v>
      </c>
      <c r="I14" s="1010">
        <v>205</v>
      </c>
      <c r="J14" s="1010">
        <v>201</v>
      </c>
      <c r="K14" s="1011">
        <v>203</v>
      </c>
      <c r="L14" s="1011">
        <v>204</v>
      </c>
      <c r="M14" s="1011">
        <v>199</v>
      </c>
      <c r="N14" s="1010">
        <v>204</v>
      </c>
      <c r="O14" s="1010">
        <v>206</v>
      </c>
      <c r="P14" s="1010">
        <v>204</v>
      </c>
      <c r="Q14" s="1011">
        <v>200</v>
      </c>
      <c r="R14" s="1011">
        <v>190</v>
      </c>
      <c r="S14" s="1079">
        <v>191</v>
      </c>
      <c r="T14" s="1013">
        <f t="shared" si="2"/>
        <v>2403</v>
      </c>
      <c r="U14" s="1135">
        <v>2496</v>
      </c>
    </row>
    <row r="15" spans="1:21" ht="15">
      <c r="A15" s="29"/>
      <c r="B15" s="8"/>
      <c r="C15" s="9"/>
      <c r="D15" s="4" t="s">
        <v>26</v>
      </c>
      <c r="E15" s="5"/>
      <c r="F15" s="5"/>
      <c r="G15" s="5" t="s">
        <v>37</v>
      </c>
      <c r="H15" s="1014">
        <v>12</v>
      </c>
      <c r="I15" s="1015">
        <v>12</v>
      </c>
      <c r="J15" s="1015">
        <v>12</v>
      </c>
      <c r="K15" s="1016">
        <v>11</v>
      </c>
      <c r="L15" s="1016">
        <v>15</v>
      </c>
      <c r="M15" s="1016">
        <v>12</v>
      </c>
      <c r="N15" s="1015">
        <v>15</v>
      </c>
      <c r="O15" s="1015">
        <v>14</v>
      </c>
      <c r="P15" s="1015">
        <v>13</v>
      </c>
      <c r="Q15" s="1016">
        <v>13</v>
      </c>
      <c r="R15" s="1016">
        <v>12</v>
      </c>
      <c r="S15" s="1017">
        <v>15</v>
      </c>
      <c r="T15" s="1017">
        <f t="shared" si="2"/>
        <v>156</v>
      </c>
      <c r="U15" s="1133">
        <v>252</v>
      </c>
    </row>
    <row r="16" spans="1:21" ht="15">
      <c r="A16" s="29"/>
      <c r="B16" s="8"/>
      <c r="C16" s="9"/>
      <c r="D16" s="4" t="s">
        <v>27</v>
      </c>
      <c r="E16" s="5"/>
      <c r="F16" s="5"/>
      <c r="G16" s="5" t="s">
        <v>37</v>
      </c>
      <c r="H16" s="1014">
        <v>59</v>
      </c>
      <c r="I16" s="1015">
        <v>62</v>
      </c>
      <c r="J16" s="1015">
        <v>68</v>
      </c>
      <c r="K16" s="1016">
        <v>73</v>
      </c>
      <c r="L16" s="1016">
        <v>78</v>
      </c>
      <c r="M16" s="1016">
        <v>77</v>
      </c>
      <c r="N16" s="1015">
        <v>77</v>
      </c>
      <c r="O16" s="1015">
        <v>80</v>
      </c>
      <c r="P16" s="1015">
        <v>69</v>
      </c>
      <c r="Q16" s="1016">
        <v>77</v>
      </c>
      <c r="R16" s="1016">
        <f>71+2</f>
        <v>73</v>
      </c>
      <c r="S16" s="1017">
        <f>73+3</f>
        <v>76</v>
      </c>
      <c r="T16" s="1017">
        <f t="shared" si="2"/>
        <v>869</v>
      </c>
      <c r="U16" s="1133">
        <v>948</v>
      </c>
    </row>
    <row r="17" spans="1:21" ht="15">
      <c r="A17" s="29"/>
      <c r="B17" s="8"/>
      <c r="C17" s="9"/>
      <c r="D17" s="4" t="s">
        <v>28</v>
      </c>
      <c r="E17" s="5"/>
      <c r="F17" s="5"/>
      <c r="G17" s="5" t="s">
        <v>37</v>
      </c>
      <c r="H17" s="1014">
        <v>5</v>
      </c>
      <c r="I17" s="1015">
        <v>6</v>
      </c>
      <c r="J17" s="1015">
        <v>6</v>
      </c>
      <c r="K17" s="1016">
        <v>6</v>
      </c>
      <c r="L17" s="1016">
        <v>6</v>
      </c>
      <c r="M17" s="1016">
        <v>5</v>
      </c>
      <c r="N17" s="1015">
        <v>6</v>
      </c>
      <c r="O17" s="1015">
        <v>6</v>
      </c>
      <c r="P17" s="1015">
        <v>6</v>
      </c>
      <c r="Q17" s="1016">
        <v>6</v>
      </c>
      <c r="R17" s="1016">
        <v>5</v>
      </c>
      <c r="S17" s="1017">
        <v>5</v>
      </c>
      <c r="T17" s="1017">
        <f t="shared" si="2"/>
        <v>68</v>
      </c>
      <c r="U17" s="1133">
        <v>24</v>
      </c>
    </row>
    <row r="18" spans="1:21" ht="15">
      <c r="A18" s="29"/>
      <c r="B18" s="8"/>
      <c r="C18" s="9"/>
      <c r="D18" s="4" t="s">
        <v>29</v>
      </c>
      <c r="E18" s="5"/>
      <c r="F18" s="5"/>
      <c r="G18" s="5" t="s">
        <v>37</v>
      </c>
      <c r="H18" s="1014">
        <v>94</v>
      </c>
      <c r="I18" s="1015">
        <v>91</v>
      </c>
      <c r="J18" s="1015">
        <v>91</v>
      </c>
      <c r="K18" s="1016">
        <v>111</v>
      </c>
      <c r="L18" s="1016">
        <v>103</v>
      </c>
      <c r="M18" s="1016">
        <v>83</v>
      </c>
      <c r="N18" s="1015">
        <v>90</v>
      </c>
      <c r="O18" s="1015">
        <v>106</v>
      </c>
      <c r="P18" s="1015">
        <v>81</v>
      </c>
      <c r="Q18" s="1016">
        <v>92</v>
      </c>
      <c r="R18" s="1016">
        <f>81+7</f>
        <v>88</v>
      </c>
      <c r="S18" s="1017">
        <f>92+7</f>
        <v>99</v>
      </c>
      <c r="T18" s="1017">
        <f t="shared" si="2"/>
        <v>1129</v>
      </c>
      <c r="U18" s="1133">
        <v>756</v>
      </c>
    </row>
    <row r="19" spans="1:21" ht="15">
      <c r="A19" s="29"/>
      <c r="B19" s="8"/>
      <c r="C19" s="9"/>
      <c r="D19" s="4" t="s">
        <v>5</v>
      </c>
      <c r="E19" s="5"/>
      <c r="F19" s="5"/>
      <c r="G19" s="5" t="s">
        <v>37</v>
      </c>
      <c r="H19" s="1014">
        <v>407</v>
      </c>
      <c r="I19" s="1015">
        <v>404</v>
      </c>
      <c r="J19" s="1015">
        <v>402</v>
      </c>
      <c r="K19" s="1016">
        <v>406</v>
      </c>
      <c r="L19" s="1016">
        <v>415</v>
      </c>
      <c r="M19" s="1016">
        <v>411</v>
      </c>
      <c r="N19" s="1015">
        <v>403</v>
      </c>
      <c r="O19" s="1015">
        <v>410</v>
      </c>
      <c r="P19" s="1015">
        <v>399</v>
      </c>
      <c r="Q19" s="1016">
        <v>381</v>
      </c>
      <c r="R19" s="1016">
        <v>369</v>
      </c>
      <c r="S19" s="1017">
        <v>380</v>
      </c>
      <c r="T19" s="1017">
        <f t="shared" si="2"/>
        <v>4787</v>
      </c>
      <c r="U19" s="1133">
        <v>5004</v>
      </c>
    </row>
    <row r="20" spans="1:21" ht="15">
      <c r="A20" s="29"/>
      <c r="B20" s="8"/>
      <c r="C20" s="9"/>
      <c r="D20" s="4" t="s">
        <v>6</v>
      </c>
      <c r="E20" s="5"/>
      <c r="F20" s="5"/>
      <c r="G20" s="5" t="s">
        <v>37</v>
      </c>
      <c r="H20" s="1014">
        <v>4</v>
      </c>
      <c r="I20" s="1015">
        <v>4</v>
      </c>
      <c r="J20" s="1015">
        <v>4</v>
      </c>
      <c r="K20" s="1016">
        <v>3</v>
      </c>
      <c r="L20" s="1016">
        <v>3</v>
      </c>
      <c r="M20" s="1016">
        <v>4</v>
      </c>
      <c r="N20" s="1015">
        <v>3</v>
      </c>
      <c r="O20" s="1015">
        <v>3</v>
      </c>
      <c r="P20" s="1015">
        <v>3</v>
      </c>
      <c r="Q20" s="1016">
        <v>3</v>
      </c>
      <c r="R20" s="1016">
        <v>3</v>
      </c>
      <c r="S20" s="1017">
        <v>4</v>
      </c>
      <c r="T20" s="1017">
        <f t="shared" si="2"/>
        <v>41</v>
      </c>
      <c r="U20" s="1133">
        <v>72</v>
      </c>
    </row>
    <row r="21" spans="1:21" ht="15">
      <c r="A21" s="29"/>
      <c r="B21" s="8"/>
      <c r="C21" s="9"/>
      <c r="D21" s="4" t="s">
        <v>7</v>
      </c>
      <c r="E21" s="5"/>
      <c r="F21" s="5"/>
      <c r="G21" s="5" t="s">
        <v>37</v>
      </c>
      <c r="H21" s="1014">
        <v>106</v>
      </c>
      <c r="I21" s="1015">
        <v>112</v>
      </c>
      <c r="J21" s="1015">
        <v>108</v>
      </c>
      <c r="K21" s="1016">
        <v>109</v>
      </c>
      <c r="L21" s="1016">
        <v>113</v>
      </c>
      <c r="M21" s="1016">
        <v>111</v>
      </c>
      <c r="N21" s="1015">
        <v>112</v>
      </c>
      <c r="O21" s="1015">
        <v>107</v>
      </c>
      <c r="P21" s="1015">
        <v>114</v>
      </c>
      <c r="Q21" s="1016">
        <v>115</v>
      </c>
      <c r="R21" s="1016">
        <f>78+32</f>
        <v>110</v>
      </c>
      <c r="S21" s="1017">
        <f>78+33</f>
        <v>111</v>
      </c>
      <c r="T21" s="1017">
        <f t="shared" si="2"/>
        <v>1328</v>
      </c>
      <c r="U21" s="1133">
        <v>1464</v>
      </c>
    </row>
    <row r="22" spans="1:21" ht="15">
      <c r="A22" s="29"/>
      <c r="B22" s="8"/>
      <c r="C22" s="9"/>
      <c r="D22" s="4" t="s">
        <v>11</v>
      </c>
      <c r="E22" s="5"/>
      <c r="F22" s="5"/>
      <c r="G22" s="5" t="s">
        <v>37</v>
      </c>
      <c r="H22" s="1014">
        <v>90</v>
      </c>
      <c r="I22" s="1015">
        <v>87</v>
      </c>
      <c r="J22" s="1015">
        <v>91</v>
      </c>
      <c r="K22" s="1016">
        <v>88</v>
      </c>
      <c r="L22" s="1016">
        <v>94</v>
      </c>
      <c r="M22" s="1016">
        <v>87</v>
      </c>
      <c r="N22" s="1015">
        <v>93</v>
      </c>
      <c r="O22" s="1015">
        <v>88</v>
      </c>
      <c r="P22" s="1015">
        <v>97</v>
      </c>
      <c r="Q22" s="1016">
        <v>92</v>
      </c>
      <c r="R22" s="1016">
        <f>89+3</f>
        <v>92</v>
      </c>
      <c r="S22" s="1017">
        <f>81+2</f>
        <v>83</v>
      </c>
      <c r="T22" s="1017">
        <f t="shared" si="2"/>
        <v>1082</v>
      </c>
      <c r="U22" s="1133">
        <v>1128</v>
      </c>
    </row>
    <row r="23" spans="1:21" ht="15">
      <c r="A23" s="29"/>
      <c r="B23" s="8"/>
      <c r="C23" s="9"/>
      <c r="D23" s="4" t="s">
        <v>128</v>
      </c>
      <c r="E23" s="5"/>
      <c r="F23" s="5"/>
      <c r="G23" s="5" t="s">
        <v>37</v>
      </c>
      <c r="H23" s="1014">
        <v>3</v>
      </c>
      <c r="I23" s="1015">
        <v>3</v>
      </c>
      <c r="J23" s="1015">
        <v>3</v>
      </c>
      <c r="K23" s="1016">
        <v>5</v>
      </c>
      <c r="L23" s="1016">
        <v>4</v>
      </c>
      <c r="M23" s="1016">
        <v>5</v>
      </c>
      <c r="N23" s="1015">
        <v>4</v>
      </c>
      <c r="O23" s="1015">
        <v>4</v>
      </c>
      <c r="P23" s="1015">
        <v>4</v>
      </c>
      <c r="Q23" s="1016">
        <v>7</v>
      </c>
      <c r="R23" s="1016">
        <v>5</v>
      </c>
      <c r="S23" s="1017">
        <v>2</v>
      </c>
      <c r="T23" s="1017">
        <f t="shared" si="2"/>
        <v>49</v>
      </c>
      <c r="U23" s="1133">
        <v>192</v>
      </c>
    </row>
    <row r="24" spans="1:21" ht="15">
      <c r="A24" s="29"/>
      <c r="B24" s="8"/>
      <c r="C24" s="9"/>
      <c r="D24" s="4" t="s">
        <v>14</v>
      </c>
      <c r="E24" s="5"/>
      <c r="F24" s="5"/>
      <c r="G24" s="5" t="s">
        <v>37</v>
      </c>
      <c r="H24" s="1014">
        <v>346</v>
      </c>
      <c r="I24" s="1015">
        <v>348</v>
      </c>
      <c r="J24" s="1015">
        <v>369</v>
      </c>
      <c r="K24" s="1016">
        <v>361</v>
      </c>
      <c r="L24" s="1016">
        <v>378</v>
      </c>
      <c r="M24" s="1016">
        <v>375</v>
      </c>
      <c r="N24" s="1015">
        <v>377</v>
      </c>
      <c r="O24" s="1015">
        <v>372</v>
      </c>
      <c r="P24" s="1015">
        <v>368</v>
      </c>
      <c r="Q24" s="1016">
        <v>362</v>
      </c>
      <c r="R24" s="1016">
        <f>311+54</f>
        <v>365</v>
      </c>
      <c r="S24" s="1017">
        <f>318+52</f>
        <v>370</v>
      </c>
      <c r="T24" s="1017">
        <f t="shared" si="2"/>
        <v>4391</v>
      </c>
      <c r="U24" s="1133">
        <v>4320</v>
      </c>
    </row>
    <row r="25" spans="1:21" ht="15">
      <c r="A25" s="29"/>
      <c r="B25" s="8"/>
      <c r="C25" s="9"/>
      <c r="D25" s="4" t="s">
        <v>33</v>
      </c>
      <c r="E25" s="5"/>
      <c r="F25" s="5"/>
      <c r="G25" s="5" t="s">
        <v>37</v>
      </c>
      <c r="H25" s="1014">
        <v>2</v>
      </c>
      <c r="I25" s="1015">
        <v>2</v>
      </c>
      <c r="J25" s="1015">
        <v>5</v>
      </c>
      <c r="K25" s="1016">
        <v>5</v>
      </c>
      <c r="L25" s="1016">
        <v>2</v>
      </c>
      <c r="M25" s="1016">
        <v>1</v>
      </c>
      <c r="N25" s="1015">
        <v>5</v>
      </c>
      <c r="O25" s="1015">
        <v>3</v>
      </c>
      <c r="P25" s="1015">
        <v>5</v>
      </c>
      <c r="Q25" s="1016">
        <v>5</v>
      </c>
      <c r="R25" s="1016">
        <v>2</v>
      </c>
      <c r="S25" s="1017">
        <v>3</v>
      </c>
      <c r="T25" s="1017">
        <f t="shared" si="2"/>
        <v>40</v>
      </c>
      <c r="U25" s="1133">
        <v>24</v>
      </c>
    </row>
    <row r="26" spans="1:21" ht="15">
      <c r="A26" s="29"/>
      <c r="B26" s="8"/>
      <c r="C26" s="9"/>
      <c r="D26" s="4" t="s">
        <v>34</v>
      </c>
      <c r="E26" s="5"/>
      <c r="F26" s="5"/>
      <c r="G26" s="5" t="s">
        <v>37</v>
      </c>
      <c r="H26" s="1014">
        <v>2</v>
      </c>
      <c r="I26" s="1015">
        <v>1</v>
      </c>
      <c r="J26" s="1015">
        <v>0</v>
      </c>
      <c r="K26" s="1016">
        <v>1</v>
      </c>
      <c r="L26" s="1016">
        <v>2</v>
      </c>
      <c r="M26" s="1016">
        <v>0</v>
      </c>
      <c r="N26" s="1015">
        <v>1</v>
      </c>
      <c r="O26" s="1015">
        <v>0</v>
      </c>
      <c r="P26" s="1015">
        <v>0</v>
      </c>
      <c r="Q26" s="1016">
        <v>1</v>
      </c>
      <c r="R26" s="1016">
        <v>0</v>
      </c>
      <c r="S26" s="1017">
        <v>2</v>
      </c>
      <c r="T26" s="1017">
        <f t="shared" si="2"/>
        <v>10</v>
      </c>
      <c r="U26" s="1133">
        <v>24</v>
      </c>
    </row>
    <row r="27" spans="1:21" ht="15">
      <c r="A27" s="29"/>
      <c r="B27" s="8"/>
      <c r="C27" s="9"/>
      <c r="D27" s="4" t="s">
        <v>3</v>
      </c>
      <c r="E27" s="5"/>
      <c r="F27" s="5"/>
      <c r="G27" s="5" t="s">
        <v>37</v>
      </c>
      <c r="H27" s="1014">
        <v>0</v>
      </c>
      <c r="I27" s="1015">
        <v>0</v>
      </c>
      <c r="J27" s="1015">
        <v>0</v>
      </c>
      <c r="K27" s="1016">
        <v>0</v>
      </c>
      <c r="L27" s="1016">
        <v>0</v>
      </c>
      <c r="M27" s="1016">
        <v>0</v>
      </c>
      <c r="N27" s="1015">
        <v>0</v>
      </c>
      <c r="O27" s="1015">
        <v>0</v>
      </c>
      <c r="P27" s="1015">
        <v>0</v>
      </c>
      <c r="Q27" s="1016">
        <v>0</v>
      </c>
      <c r="R27" s="1016">
        <v>0</v>
      </c>
      <c r="S27" s="1017">
        <v>0</v>
      </c>
      <c r="T27" s="1017">
        <f t="shared" si="2"/>
        <v>0</v>
      </c>
      <c r="U27" s="1133">
        <v>0</v>
      </c>
    </row>
    <row r="28" spans="1:21" ht="15">
      <c r="A28" s="29"/>
      <c r="B28" s="8"/>
      <c r="C28" s="9"/>
      <c r="D28" s="4" t="s">
        <v>4</v>
      </c>
      <c r="E28" s="5"/>
      <c r="F28" s="5"/>
      <c r="G28" s="5" t="s">
        <v>37</v>
      </c>
      <c r="H28" s="1014">
        <v>0</v>
      </c>
      <c r="I28" s="1015">
        <v>0</v>
      </c>
      <c r="J28" s="1015">
        <v>0</v>
      </c>
      <c r="K28" s="1016">
        <v>0</v>
      </c>
      <c r="L28" s="1016">
        <v>0</v>
      </c>
      <c r="M28" s="1016">
        <v>0</v>
      </c>
      <c r="N28" s="1015">
        <v>0</v>
      </c>
      <c r="O28" s="1015">
        <v>0</v>
      </c>
      <c r="P28" s="1015">
        <v>0</v>
      </c>
      <c r="Q28" s="1016">
        <v>0</v>
      </c>
      <c r="R28" s="1016">
        <v>0</v>
      </c>
      <c r="S28" s="1017">
        <v>0</v>
      </c>
      <c r="T28" s="1017">
        <f t="shared" si="2"/>
        <v>0</v>
      </c>
      <c r="U28" s="1133">
        <v>0</v>
      </c>
    </row>
    <row r="29" spans="1:21" ht="15">
      <c r="A29" s="29"/>
      <c r="B29" s="8"/>
      <c r="C29" s="9"/>
      <c r="D29" s="4" t="s">
        <v>8</v>
      </c>
      <c r="E29" s="5"/>
      <c r="F29" s="5"/>
      <c r="G29" s="5" t="s">
        <v>37</v>
      </c>
      <c r="H29" s="1014">
        <v>23</v>
      </c>
      <c r="I29" s="1015">
        <v>22</v>
      </c>
      <c r="J29" s="1015">
        <v>25</v>
      </c>
      <c r="K29" s="1016">
        <v>25</v>
      </c>
      <c r="L29" s="1016">
        <v>23</v>
      </c>
      <c r="M29" s="1016">
        <v>25</v>
      </c>
      <c r="N29" s="1015">
        <v>25</v>
      </c>
      <c r="O29" s="1015">
        <v>12</v>
      </c>
      <c r="P29" s="1015">
        <v>23</v>
      </c>
      <c r="Q29" s="1016">
        <v>36</v>
      </c>
      <c r="R29" s="1016">
        <v>23</v>
      </c>
      <c r="S29" s="1017">
        <v>28</v>
      </c>
      <c r="T29" s="1017">
        <f t="shared" si="2"/>
        <v>290</v>
      </c>
      <c r="U29" s="1133">
        <v>348</v>
      </c>
    </row>
    <row r="30" spans="1:21" ht="15">
      <c r="A30" s="29"/>
      <c r="B30" s="8"/>
      <c r="C30" s="9"/>
      <c r="D30" s="4" t="s">
        <v>9</v>
      </c>
      <c r="E30" s="5"/>
      <c r="F30" s="5"/>
      <c r="G30" s="5" t="s">
        <v>37</v>
      </c>
      <c r="H30" s="1014">
        <v>0</v>
      </c>
      <c r="I30" s="1015">
        <v>0</v>
      </c>
      <c r="J30" s="1015">
        <v>0</v>
      </c>
      <c r="K30" s="1016">
        <v>0</v>
      </c>
      <c r="L30" s="1016">
        <v>0</v>
      </c>
      <c r="M30" s="1016">
        <v>0</v>
      </c>
      <c r="N30" s="1015">
        <v>0</v>
      </c>
      <c r="O30" s="1015">
        <v>0</v>
      </c>
      <c r="P30" s="1015">
        <v>0</v>
      </c>
      <c r="Q30" s="1016">
        <v>0</v>
      </c>
      <c r="R30" s="1016">
        <v>0</v>
      </c>
      <c r="S30" s="1017">
        <v>0</v>
      </c>
      <c r="T30" s="1017">
        <f t="shared" si="2"/>
        <v>0</v>
      </c>
      <c r="U30" s="1133">
        <v>0</v>
      </c>
    </row>
    <row r="31" spans="1:21" ht="15">
      <c r="A31" s="29"/>
      <c r="B31" s="8"/>
      <c r="C31" s="9"/>
      <c r="D31" s="4" t="s">
        <v>10</v>
      </c>
      <c r="E31" s="5"/>
      <c r="F31" s="5"/>
      <c r="G31" s="5" t="s">
        <v>37</v>
      </c>
      <c r="H31" s="1014">
        <v>0</v>
      </c>
      <c r="I31" s="1015">
        <v>0</v>
      </c>
      <c r="J31" s="1015">
        <v>0</v>
      </c>
      <c r="K31" s="1016">
        <v>0</v>
      </c>
      <c r="L31" s="1016">
        <v>0</v>
      </c>
      <c r="M31" s="1016">
        <v>0</v>
      </c>
      <c r="N31" s="1015">
        <v>0</v>
      </c>
      <c r="O31" s="1015">
        <v>0</v>
      </c>
      <c r="P31" s="1015">
        <v>0</v>
      </c>
      <c r="Q31" s="1016">
        <v>0</v>
      </c>
      <c r="R31" s="1016">
        <v>0</v>
      </c>
      <c r="S31" s="1017">
        <v>0</v>
      </c>
      <c r="T31" s="1017">
        <f t="shared" si="2"/>
        <v>0</v>
      </c>
      <c r="U31" s="1133">
        <v>0</v>
      </c>
    </row>
    <row r="32" spans="1:21" ht="15.75" thickBot="1">
      <c r="A32" s="31"/>
      <c r="B32" s="32"/>
      <c r="C32" s="33"/>
      <c r="D32" s="34" t="s">
        <v>15</v>
      </c>
      <c r="E32" s="43"/>
      <c r="F32" s="43"/>
      <c r="G32" s="43" t="s">
        <v>37</v>
      </c>
      <c r="H32" s="1020">
        <v>656</v>
      </c>
      <c r="I32" s="1021">
        <v>660</v>
      </c>
      <c r="J32" s="1021">
        <v>667</v>
      </c>
      <c r="K32" s="1022">
        <v>660</v>
      </c>
      <c r="L32" s="1022">
        <v>675</v>
      </c>
      <c r="M32" s="1022">
        <v>666</v>
      </c>
      <c r="N32" s="1021">
        <v>662</v>
      </c>
      <c r="O32" s="1021">
        <v>664</v>
      </c>
      <c r="P32" s="1021">
        <v>651</v>
      </c>
      <c r="Q32" s="1022">
        <v>644</v>
      </c>
      <c r="R32" s="1022">
        <f>572+76</f>
        <v>648</v>
      </c>
      <c r="S32" s="1023">
        <f>74+568</f>
        <v>642</v>
      </c>
      <c r="T32" s="1023">
        <f t="shared" si="2"/>
        <v>7895</v>
      </c>
      <c r="U32" s="1134">
        <v>8304</v>
      </c>
    </row>
    <row r="33" spans="1:21" ht="12" thickBot="1">
      <c r="H33" s="1183">
        <f t="shared" ref="H33:T33" si="6">H4+H9+H13</f>
        <v>1632</v>
      </c>
      <c r="I33" s="1183">
        <f t="shared" si="6"/>
        <v>1645</v>
      </c>
      <c r="J33" s="1183">
        <f t="shared" si="6"/>
        <v>1671</v>
      </c>
      <c r="K33" s="1183">
        <f t="shared" si="6"/>
        <v>1690</v>
      </c>
      <c r="L33" s="1183">
        <f t="shared" si="6"/>
        <v>1721</v>
      </c>
      <c r="M33" s="1183">
        <f t="shared" si="6"/>
        <v>1677</v>
      </c>
      <c r="N33" s="1183">
        <f t="shared" si="6"/>
        <v>1697</v>
      </c>
      <c r="O33" s="1183">
        <f t="shared" si="6"/>
        <v>1687</v>
      </c>
      <c r="P33" s="1183">
        <f t="shared" si="6"/>
        <v>1676</v>
      </c>
      <c r="Q33" s="1183">
        <f t="shared" si="6"/>
        <v>1670</v>
      </c>
      <c r="R33" s="1183">
        <f t="shared" si="6"/>
        <v>1628</v>
      </c>
      <c r="S33" s="1183">
        <f t="shared" si="6"/>
        <v>1652</v>
      </c>
      <c r="T33" s="1183">
        <f t="shared" si="6"/>
        <v>20046</v>
      </c>
      <c r="U33" s="1183">
        <f>U4+U9+U13</f>
        <v>20412</v>
      </c>
    </row>
    <row r="34" spans="1:21" ht="15">
      <c r="A34" s="10"/>
      <c r="B34" s="11"/>
      <c r="C34" s="11"/>
      <c r="D34" s="11"/>
      <c r="E34" s="11"/>
      <c r="F34" s="11"/>
      <c r="G34" s="11"/>
      <c r="H34" s="1292" t="s">
        <v>70</v>
      </c>
      <c r="I34" s="1293"/>
      <c r="J34" s="1005"/>
      <c r="K34" s="1005"/>
      <c r="L34" s="1005"/>
      <c r="M34" s="1005"/>
      <c r="N34" s="1005"/>
      <c r="O34" s="1005"/>
      <c r="P34" s="1005"/>
      <c r="Q34" s="1005"/>
      <c r="R34" s="1005"/>
      <c r="S34" s="1142" t="s">
        <v>94</v>
      </c>
      <c r="T34" s="1143">
        <f>T33/U33*100</f>
        <v>98.206937095825992</v>
      </c>
      <c r="U34" s="1184" t="s">
        <v>156</v>
      </c>
    </row>
    <row r="35" spans="1:21" ht="15.75" thickBot="1">
      <c r="A35" s="19"/>
      <c r="B35" s="20"/>
      <c r="C35" s="20"/>
      <c r="D35" s="20"/>
      <c r="E35" s="20"/>
      <c r="F35" s="20"/>
      <c r="G35" s="1122"/>
      <c r="H35" s="1278" t="s">
        <v>71</v>
      </c>
      <c r="I35" s="1279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</row>
    <row r="36" spans="1:21" ht="15.75" thickTop="1">
      <c r="A36" s="29" t="s">
        <v>20</v>
      </c>
      <c r="B36" s="8"/>
      <c r="C36" s="9"/>
      <c r="D36" s="1090" t="s">
        <v>16</v>
      </c>
      <c r="E36" s="1091"/>
      <c r="F36" s="1091"/>
      <c r="G36" s="1008" t="s">
        <v>37</v>
      </c>
      <c r="H36" s="1312">
        <f t="shared" ref="H36:H42" si="7">T4/U4*100</f>
        <v>101.72672672672674</v>
      </c>
      <c r="I36" s="1313"/>
      <c r="J36" s="152"/>
      <c r="K36" s="153"/>
      <c r="L36" s="154"/>
      <c r="M36" s="155"/>
      <c r="N36" s="145"/>
      <c r="O36" s="146"/>
      <c r="P36" s="147"/>
      <c r="Q36" s="149"/>
      <c r="R36" s="150"/>
      <c r="S36" s="151"/>
      <c r="T36" s="151"/>
      <c r="U36" s="151"/>
    </row>
    <row r="37" spans="1:21" ht="15">
      <c r="A37" s="29"/>
      <c r="B37" s="8"/>
      <c r="C37" s="9"/>
      <c r="D37" s="49" t="s">
        <v>21</v>
      </c>
      <c r="E37" s="45"/>
      <c r="F37" s="45"/>
      <c r="G37" s="46" t="s">
        <v>37</v>
      </c>
      <c r="H37" s="1308">
        <f t="shared" si="7"/>
        <v>95.049504950495049</v>
      </c>
      <c r="I37" s="1309"/>
      <c r="J37" s="164"/>
      <c r="K37" s="165"/>
      <c r="L37" s="166"/>
      <c r="M37" s="167"/>
      <c r="N37" s="157"/>
      <c r="O37" s="158"/>
      <c r="P37" s="159"/>
      <c r="Q37" s="161"/>
      <c r="R37" s="162"/>
      <c r="S37" s="163"/>
      <c r="T37" s="163"/>
      <c r="U37" s="163"/>
    </row>
    <row r="38" spans="1:21" ht="15">
      <c r="A38" s="29"/>
      <c r="B38" s="8"/>
      <c r="C38" s="9"/>
      <c r="D38" s="4" t="s">
        <v>42</v>
      </c>
      <c r="E38" s="5"/>
      <c r="F38" s="5"/>
      <c r="G38" s="13" t="s">
        <v>37</v>
      </c>
      <c r="H38" s="1308">
        <f t="shared" si="7"/>
        <v>97.677595628415304</v>
      </c>
      <c r="I38" s="1309"/>
      <c r="J38" s="176"/>
      <c r="K38" s="177"/>
      <c r="L38" s="178"/>
      <c r="M38" s="179"/>
      <c r="N38" s="169"/>
      <c r="O38" s="170"/>
      <c r="P38" s="171"/>
      <c r="Q38" s="173"/>
      <c r="R38" s="174"/>
      <c r="S38" s="175"/>
      <c r="T38" s="175"/>
      <c r="U38" s="175"/>
    </row>
    <row r="39" spans="1:21" ht="15">
      <c r="A39" s="29"/>
      <c r="B39" s="8"/>
      <c r="C39" s="9"/>
      <c r="D39" s="4" t="s">
        <v>22</v>
      </c>
      <c r="E39" s="5"/>
      <c r="F39" s="5"/>
      <c r="G39" s="13" t="s">
        <v>37</v>
      </c>
      <c r="H39" s="1308">
        <f t="shared" si="7"/>
        <v>123.09027777777777</v>
      </c>
      <c r="I39" s="1309"/>
      <c r="J39" s="188"/>
      <c r="K39" s="189"/>
      <c r="L39" s="190"/>
      <c r="M39" s="191"/>
      <c r="N39" s="181"/>
      <c r="O39" s="182"/>
      <c r="P39" s="183"/>
      <c r="Q39" s="185"/>
      <c r="R39" s="186"/>
      <c r="S39" s="187"/>
      <c r="T39" s="187"/>
      <c r="U39" s="187"/>
    </row>
    <row r="40" spans="1:21" ht="15">
      <c r="A40" s="29"/>
      <c r="B40" s="8"/>
      <c r="C40" s="9"/>
      <c r="D40" s="49" t="s">
        <v>23</v>
      </c>
      <c r="E40" s="36"/>
      <c r="F40" s="36"/>
      <c r="G40" s="50" t="s">
        <v>37</v>
      </c>
      <c r="H40" s="1308">
        <f t="shared" si="7"/>
        <v>93.055555555555557</v>
      </c>
      <c r="I40" s="1309"/>
      <c r="J40" s="200"/>
      <c r="K40" s="201"/>
      <c r="L40" s="202"/>
      <c r="M40" s="203"/>
      <c r="N40" s="193"/>
      <c r="O40" s="194"/>
      <c r="P40" s="195"/>
      <c r="Q40" s="197"/>
      <c r="R40" s="198"/>
      <c r="S40" s="199"/>
      <c r="T40" s="199"/>
      <c r="U40" s="199"/>
    </row>
    <row r="41" spans="1:21" ht="15">
      <c r="A41" s="30" t="s">
        <v>2</v>
      </c>
      <c r="B41" s="6"/>
      <c r="C41" s="7"/>
      <c r="D41" s="53" t="s">
        <v>16</v>
      </c>
      <c r="E41" s="54"/>
      <c r="F41" s="54"/>
      <c r="G41" s="56" t="s">
        <v>37</v>
      </c>
      <c r="H41" s="1316">
        <f t="shared" si="7"/>
        <v>99.568965517241381</v>
      </c>
      <c r="I41" s="1317"/>
      <c r="J41" s="212"/>
      <c r="K41" s="213"/>
      <c r="L41" s="214"/>
      <c r="M41" s="215"/>
      <c r="N41" s="205"/>
      <c r="O41" s="206"/>
      <c r="P41" s="207"/>
      <c r="Q41" s="209"/>
      <c r="R41" s="210"/>
      <c r="S41" s="211"/>
      <c r="T41" s="211"/>
      <c r="U41" s="211"/>
    </row>
    <row r="42" spans="1:21" ht="15">
      <c r="A42" s="29"/>
      <c r="B42" s="8"/>
      <c r="C42" s="9"/>
      <c r="D42" s="4" t="s">
        <v>17</v>
      </c>
      <c r="E42" s="5"/>
      <c r="F42" s="5"/>
      <c r="G42" s="13" t="s">
        <v>37</v>
      </c>
      <c r="H42" s="1308">
        <f t="shared" si="7"/>
        <v>95.833333333333343</v>
      </c>
      <c r="I42" s="1309"/>
      <c r="J42" s="224"/>
      <c r="K42" s="225"/>
      <c r="L42" s="226"/>
      <c r="M42" s="227"/>
      <c r="N42" s="217"/>
      <c r="O42" s="218"/>
      <c r="P42" s="219"/>
      <c r="Q42" s="221"/>
      <c r="R42" s="222"/>
      <c r="S42" s="223"/>
      <c r="T42" s="223"/>
      <c r="U42" s="223"/>
    </row>
    <row r="43" spans="1:21" ht="15">
      <c r="A43" s="29"/>
      <c r="B43" s="8"/>
      <c r="C43" s="9"/>
      <c r="D43" s="4" t="s">
        <v>19</v>
      </c>
      <c r="E43" s="5"/>
      <c r="F43" s="5"/>
      <c r="G43" s="13" t="s">
        <v>37</v>
      </c>
      <c r="H43" s="1310" t="s">
        <v>85</v>
      </c>
      <c r="I43" s="1309"/>
      <c r="J43" s="236"/>
      <c r="K43" s="237"/>
      <c r="L43" s="238"/>
      <c r="M43" s="239"/>
      <c r="N43" s="229"/>
      <c r="O43" s="230"/>
      <c r="P43" s="231"/>
      <c r="Q43" s="233"/>
      <c r="R43" s="234"/>
      <c r="S43" s="235"/>
      <c r="T43" s="235"/>
      <c r="U43" s="235"/>
    </row>
    <row r="44" spans="1:21" ht="15">
      <c r="A44" s="29"/>
      <c r="B44" s="8"/>
      <c r="C44" s="9"/>
      <c r="D44" s="49" t="s">
        <v>18</v>
      </c>
      <c r="E44" s="36"/>
      <c r="F44" s="36"/>
      <c r="G44" s="50" t="s">
        <v>37</v>
      </c>
      <c r="H44" s="1308">
        <f>T12/U12*100</f>
        <v>99.702380952380949</v>
      </c>
      <c r="I44" s="1309"/>
      <c r="J44" s="248"/>
      <c r="K44" s="249"/>
      <c r="L44" s="250"/>
      <c r="M44" s="251"/>
      <c r="N44" s="241"/>
      <c r="O44" s="242"/>
      <c r="P44" s="243"/>
      <c r="Q44" s="245"/>
      <c r="R44" s="246"/>
      <c r="S44" s="247"/>
      <c r="T44" s="247"/>
      <c r="U44" s="247"/>
    </row>
    <row r="45" spans="1:21" ht="15">
      <c r="A45" s="30" t="s">
        <v>1</v>
      </c>
      <c r="B45" s="6"/>
      <c r="C45" s="7"/>
      <c r="D45" s="4" t="s">
        <v>25</v>
      </c>
      <c r="E45" s="5"/>
      <c r="F45" s="5"/>
      <c r="G45" s="13" t="s">
        <v>37</v>
      </c>
      <c r="H45" s="1308">
        <f t="shared" ref="H45:H54" si="8">T14/U14*100</f>
        <v>96.274038461538453</v>
      </c>
      <c r="I45" s="1309"/>
      <c r="J45" s="260"/>
      <c r="K45" s="261"/>
      <c r="L45" s="262"/>
      <c r="M45" s="263"/>
      <c r="N45" s="253"/>
      <c r="O45" s="254"/>
      <c r="P45" s="255"/>
      <c r="Q45" s="257"/>
      <c r="R45" s="258"/>
      <c r="S45" s="259"/>
      <c r="T45" s="259"/>
      <c r="U45" s="259"/>
    </row>
    <row r="46" spans="1:21" ht="15">
      <c r="A46" s="29"/>
      <c r="B46" s="8"/>
      <c r="C46" s="9"/>
      <c r="D46" s="4" t="s">
        <v>26</v>
      </c>
      <c r="E46" s="5"/>
      <c r="F46" s="5"/>
      <c r="G46" s="13" t="s">
        <v>37</v>
      </c>
      <c r="H46" s="1308">
        <f t="shared" si="8"/>
        <v>61.904761904761905</v>
      </c>
      <c r="I46" s="1309"/>
      <c r="J46" s="272"/>
      <c r="K46" s="273"/>
      <c r="L46" s="274"/>
      <c r="M46" s="275"/>
      <c r="N46" s="265"/>
      <c r="O46" s="266"/>
      <c r="P46" s="267"/>
      <c r="Q46" s="269"/>
      <c r="R46" s="270"/>
      <c r="S46" s="271"/>
      <c r="T46" s="271"/>
      <c r="U46" s="271"/>
    </row>
    <row r="47" spans="1:21" ht="15">
      <c r="A47" s="29"/>
      <c r="B47" s="8"/>
      <c r="C47" s="9"/>
      <c r="D47" s="4" t="s">
        <v>27</v>
      </c>
      <c r="E47" s="5"/>
      <c r="F47" s="5"/>
      <c r="G47" s="13" t="s">
        <v>37</v>
      </c>
      <c r="H47" s="1308">
        <f t="shared" si="8"/>
        <v>91.666666666666657</v>
      </c>
      <c r="I47" s="1309"/>
      <c r="J47" s="284"/>
      <c r="K47" s="285"/>
      <c r="L47" s="286"/>
      <c r="M47" s="287"/>
      <c r="N47" s="277"/>
      <c r="O47" s="278"/>
      <c r="P47" s="279"/>
      <c r="Q47" s="281"/>
      <c r="R47" s="282"/>
      <c r="S47" s="283"/>
      <c r="T47" s="283"/>
      <c r="U47" s="283"/>
    </row>
    <row r="48" spans="1:21" ht="15">
      <c r="A48" s="29"/>
      <c r="B48" s="8"/>
      <c r="C48" s="9"/>
      <c r="D48" s="4" t="s">
        <v>28</v>
      </c>
      <c r="E48" s="5"/>
      <c r="F48" s="5"/>
      <c r="G48" s="13" t="s">
        <v>37</v>
      </c>
      <c r="H48" s="1308">
        <f t="shared" si="8"/>
        <v>283.33333333333337</v>
      </c>
      <c r="I48" s="1309"/>
      <c r="J48" s="296"/>
      <c r="K48" s="297"/>
      <c r="L48" s="298"/>
      <c r="M48" s="299"/>
      <c r="N48" s="289"/>
      <c r="O48" s="290"/>
      <c r="P48" s="291"/>
      <c r="Q48" s="293"/>
      <c r="R48" s="294"/>
      <c r="S48" s="295"/>
      <c r="T48" s="295"/>
      <c r="U48" s="295"/>
    </row>
    <row r="49" spans="1:21" ht="15">
      <c r="A49" s="29"/>
      <c r="B49" s="8"/>
      <c r="C49" s="9"/>
      <c r="D49" s="4" t="s">
        <v>29</v>
      </c>
      <c r="E49" s="5"/>
      <c r="F49" s="5"/>
      <c r="G49" s="13" t="s">
        <v>37</v>
      </c>
      <c r="H49" s="1308">
        <f t="shared" si="8"/>
        <v>149.33862433862436</v>
      </c>
      <c r="I49" s="1309"/>
      <c r="J49" s="308"/>
      <c r="K49" s="309"/>
      <c r="L49" s="310"/>
      <c r="M49" s="311"/>
      <c r="N49" s="301"/>
      <c r="O49" s="302"/>
      <c r="P49" s="303"/>
      <c r="Q49" s="305"/>
      <c r="R49" s="306"/>
      <c r="S49" s="307"/>
      <c r="T49" s="307"/>
      <c r="U49" s="307"/>
    </row>
    <row r="50" spans="1:21" ht="15">
      <c r="A50" s="29"/>
      <c r="B50" s="8"/>
      <c r="C50" s="9"/>
      <c r="D50" s="4" t="s">
        <v>5</v>
      </c>
      <c r="E50" s="5"/>
      <c r="F50" s="5"/>
      <c r="G50" s="13" t="s">
        <v>37</v>
      </c>
      <c r="H50" s="1308">
        <f t="shared" si="8"/>
        <v>95.6634692246203</v>
      </c>
      <c r="I50" s="1309"/>
      <c r="J50" s="320"/>
      <c r="K50" s="321"/>
      <c r="L50" s="322"/>
      <c r="M50" s="323"/>
      <c r="N50" s="313"/>
      <c r="O50" s="314"/>
      <c r="P50" s="315"/>
      <c r="Q50" s="317"/>
      <c r="R50" s="318"/>
      <c r="S50" s="319"/>
      <c r="T50" s="319"/>
      <c r="U50" s="319"/>
    </row>
    <row r="51" spans="1:21" ht="15">
      <c r="A51" s="29"/>
      <c r="B51" s="8"/>
      <c r="C51" s="9"/>
      <c r="D51" s="4" t="s">
        <v>6</v>
      </c>
      <c r="E51" s="5"/>
      <c r="F51" s="5"/>
      <c r="G51" s="13" t="s">
        <v>37</v>
      </c>
      <c r="H51" s="1308">
        <f t="shared" si="8"/>
        <v>56.944444444444443</v>
      </c>
      <c r="I51" s="1309"/>
      <c r="J51" s="332"/>
      <c r="K51" s="333"/>
      <c r="L51" s="334"/>
      <c r="M51" s="335"/>
      <c r="N51" s="325"/>
      <c r="O51" s="326"/>
      <c r="P51" s="327"/>
      <c r="Q51" s="329"/>
      <c r="R51" s="330"/>
      <c r="S51" s="331"/>
      <c r="T51" s="331"/>
      <c r="U51" s="331"/>
    </row>
    <row r="52" spans="1:21" ht="15">
      <c r="A52" s="29"/>
      <c r="B52" s="8"/>
      <c r="C52" s="9"/>
      <c r="D52" s="4" t="s">
        <v>7</v>
      </c>
      <c r="E52" s="5"/>
      <c r="F52" s="5"/>
      <c r="G52" s="13" t="s">
        <v>37</v>
      </c>
      <c r="H52" s="1308">
        <f t="shared" si="8"/>
        <v>90.710382513661202</v>
      </c>
      <c r="I52" s="1309"/>
      <c r="J52" s="344"/>
      <c r="K52" s="345"/>
      <c r="L52" s="346"/>
      <c r="M52" s="347"/>
      <c r="N52" s="337"/>
      <c r="O52" s="338"/>
      <c r="P52" s="339"/>
      <c r="Q52" s="341"/>
      <c r="R52" s="342"/>
      <c r="S52" s="343"/>
      <c r="T52" s="343"/>
      <c r="U52" s="343"/>
    </row>
    <row r="53" spans="1:21" ht="15">
      <c r="A53" s="29"/>
      <c r="B53" s="8"/>
      <c r="C53" s="9"/>
      <c r="D53" s="4" t="s">
        <v>11</v>
      </c>
      <c r="E53" s="5"/>
      <c r="F53" s="5"/>
      <c r="G53" s="13" t="s">
        <v>37</v>
      </c>
      <c r="H53" s="1308">
        <f t="shared" si="8"/>
        <v>95.921985815602838</v>
      </c>
      <c r="I53" s="1309"/>
      <c r="J53" s="356"/>
      <c r="K53" s="357"/>
      <c r="L53" s="358"/>
      <c r="M53" s="359"/>
      <c r="N53" s="349"/>
      <c r="O53" s="350"/>
      <c r="P53" s="351"/>
      <c r="Q53" s="353"/>
      <c r="R53" s="354"/>
      <c r="S53" s="355"/>
      <c r="T53" s="355"/>
      <c r="U53" s="355"/>
    </row>
    <row r="54" spans="1:21" ht="15">
      <c r="A54" s="29"/>
      <c r="B54" s="8"/>
      <c r="C54" s="9"/>
      <c r="D54" s="4" t="s">
        <v>128</v>
      </c>
      <c r="E54" s="5"/>
      <c r="F54" s="5"/>
      <c r="G54" s="13" t="s">
        <v>37</v>
      </c>
      <c r="H54" s="1308">
        <f t="shared" si="8"/>
        <v>25.520833333333332</v>
      </c>
      <c r="I54" s="1309"/>
      <c r="J54" s="368"/>
      <c r="K54" s="369"/>
      <c r="L54" s="370"/>
      <c r="M54" s="371"/>
      <c r="N54" s="361"/>
      <c r="O54" s="362"/>
      <c r="P54" s="363"/>
      <c r="Q54" s="365"/>
      <c r="R54" s="366"/>
      <c r="S54" s="367"/>
      <c r="T54" s="367"/>
      <c r="U54" s="367"/>
    </row>
    <row r="55" spans="1:21" ht="15">
      <c r="A55" s="29"/>
      <c r="B55" s="8"/>
      <c r="C55" s="9"/>
      <c r="D55" s="4" t="s">
        <v>14</v>
      </c>
      <c r="E55" s="5"/>
      <c r="F55" s="5"/>
      <c r="G55" s="13" t="s">
        <v>37</v>
      </c>
      <c r="H55" s="1308">
        <f t="shared" ref="H55:H63" si="9">T24/U24*100</f>
        <v>101.64351851851852</v>
      </c>
      <c r="I55" s="1309"/>
      <c r="J55" s="392"/>
      <c r="K55" s="393"/>
      <c r="L55" s="394"/>
      <c r="M55" s="395"/>
      <c r="N55" s="385"/>
      <c r="O55" s="386"/>
      <c r="P55" s="387"/>
      <c r="Q55" s="389"/>
      <c r="R55" s="390"/>
      <c r="S55" s="391"/>
      <c r="T55" s="391"/>
      <c r="U55" s="391"/>
    </row>
    <row r="56" spans="1:21" ht="15">
      <c r="A56" s="29"/>
      <c r="B56" s="8"/>
      <c r="C56" s="9"/>
      <c r="D56" s="4" t="s">
        <v>33</v>
      </c>
      <c r="E56" s="5"/>
      <c r="F56" s="5"/>
      <c r="G56" s="13" t="s">
        <v>37</v>
      </c>
      <c r="H56" s="1308">
        <f t="shared" si="9"/>
        <v>166.66666666666669</v>
      </c>
      <c r="I56" s="1309"/>
      <c r="J56" s="404"/>
      <c r="K56" s="405"/>
      <c r="L56" s="406"/>
      <c r="M56" s="407"/>
      <c r="N56" s="397"/>
      <c r="O56" s="398"/>
      <c r="P56" s="399"/>
      <c r="Q56" s="401"/>
      <c r="R56" s="402"/>
      <c r="S56" s="403"/>
      <c r="T56" s="403"/>
      <c r="U56" s="403"/>
    </row>
    <row r="57" spans="1:21" ht="15">
      <c r="A57" s="29"/>
      <c r="B57" s="8"/>
      <c r="C57" s="9"/>
      <c r="D57" s="4" t="s">
        <v>34</v>
      </c>
      <c r="E57" s="5"/>
      <c r="F57" s="5"/>
      <c r="G57" s="13" t="s">
        <v>37</v>
      </c>
      <c r="H57" s="1308">
        <f t="shared" si="9"/>
        <v>41.666666666666671</v>
      </c>
      <c r="I57" s="1309"/>
      <c r="J57" s="416"/>
      <c r="K57" s="417"/>
      <c r="L57" s="418"/>
      <c r="M57" s="419"/>
      <c r="N57" s="409"/>
      <c r="O57" s="410"/>
      <c r="P57" s="411"/>
      <c r="Q57" s="413"/>
      <c r="R57" s="414"/>
      <c r="S57" s="415"/>
      <c r="T57" s="415"/>
      <c r="U57" s="415"/>
    </row>
    <row r="58" spans="1:21" ht="15">
      <c r="A58" s="29"/>
      <c r="B58" s="8"/>
      <c r="C58" s="9"/>
      <c r="D58" s="4" t="s">
        <v>3</v>
      </c>
      <c r="E58" s="5"/>
      <c r="F58" s="5"/>
      <c r="G58" s="13" t="s">
        <v>37</v>
      </c>
      <c r="H58" s="1310" t="s">
        <v>85</v>
      </c>
      <c r="I58" s="1309"/>
      <c r="J58" s="428"/>
      <c r="K58" s="429"/>
      <c r="L58" s="430"/>
      <c r="M58" s="431"/>
      <c r="N58" s="421"/>
      <c r="O58" s="422"/>
      <c r="P58" s="423"/>
      <c r="Q58" s="425"/>
      <c r="R58" s="426"/>
      <c r="S58" s="427"/>
      <c r="T58" s="427"/>
      <c r="U58" s="427"/>
    </row>
    <row r="59" spans="1:21" ht="15">
      <c r="A59" s="29"/>
      <c r="B59" s="8"/>
      <c r="C59" s="9"/>
      <c r="D59" s="4" t="s">
        <v>4</v>
      </c>
      <c r="E59" s="5"/>
      <c r="F59" s="5"/>
      <c r="G59" s="13" t="s">
        <v>37</v>
      </c>
      <c r="H59" s="1310" t="s">
        <v>85</v>
      </c>
      <c r="I59" s="1309"/>
      <c r="J59" s="440"/>
      <c r="K59" s="441"/>
      <c r="L59" s="442"/>
      <c r="M59" s="443"/>
      <c r="N59" s="433"/>
      <c r="O59" s="434"/>
      <c r="P59" s="435"/>
      <c r="Q59" s="437"/>
      <c r="R59" s="438"/>
      <c r="S59" s="439"/>
      <c r="T59" s="439"/>
      <c r="U59" s="439"/>
    </row>
    <row r="60" spans="1:21" ht="15">
      <c r="A60" s="29"/>
      <c r="B60" s="8"/>
      <c r="C60" s="9"/>
      <c r="D60" s="4" t="s">
        <v>8</v>
      </c>
      <c r="E60" s="5"/>
      <c r="F60" s="5"/>
      <c r="G60" s="13" t="s">
        <v>37</v>
      </c>
      <c r="H60" s="1308">
        <f t="shared" si="9"/>
        <v>83.333333333333343</v>
      </c>
      <c r="I60" s="1309"/>
      <c r="J60" s="452"/>
      <c r="K60" s="453"/>
      <c r="L60" s="454"/>
      <c r="M60" s="455"/>
      <c r="N60" s="445"/>
      <c r="O60" s="446"/>
      <c r="P60" s="447"/>
      <c r="Q60" s="449"/>
      <c r="R60" s="450"/>
      <c r="S60" s="451"/>
      <c r="T60" s="451"/>
      <c r="U60" s="451"/>
    </row>
    <row r="61" spans="1:21" ht="15">
      <c r="A61" s="29"/>
      <c r="B61" s="8"/>
      <c r="C61" s="9"/>
      <c r="D61" s="4" t="s">
        <v>9</v>
      </c>
      <c r="E61" s="5"/>
      <c r="F61" s="5"/>
      <c r="G61" s="13" t="s">
        <v>37</v>
      </c>
      <c r="H61" s="1310" t="s">
        <v>85</v>
      </c>
      <c r="I61" s="1309"/>
      <c r="J61" s="464"/>
      <c r="K61" s="465"/>
      <c r="L61" s="466"/>
      <c r="M61" s="467"/>
      <c r="N61" s="457"/>
      <c r="O61" s="458"/>
      <c r="P61" s="459"/>
      <c r="Q61" s="461"/>
      <c r="R61" s="462"/>
      <c r="S61" s="463"/>
      <c r="T61" s="463"/>
      <c r="U61" s="463"/>
    </row>
    <row r="62" spans="1:21" ht="15">
      <c r="A62" s="29"/>
      <c r="B62" s="8"/>
      <c r="C62" s="9"/>
      <c r="D62" s="4" t="s">
        <v>10</v>
      </c>
      <c r="E62" s="5"/>
      <c r="F62" s="5"/>
      <c r="G62" s="13" t="s">
        <v>37</v>
      </c>
      <c r="H62" s="1310" t="s">
        <v>85</v>
      </c>
      <c r="I62" s="1309"/>
      <c r="J62" s="476"/>
      <c r="K62" s="477"/>
      <c r="L62" s="478"/>
      <c r="M62" s="479"/>
      <c r="N62" s="469"/>
      <c r="O62" s="470"/>
      <c r="P62" s="471"/>
      <c r="Q62" s="473"/>
      <c r="R62" s="474"/>
      <c r="S62" s="475"/>
      <c r="T62" s="475"/>
      <c r="U62" s="475"/>
    </row>
    <row r="63" spans="1:21" ht="15.75" thickBot="1">
      <c r="A63" s="31"/>
      <c r="B63" s="32"/>
      <c r="C63" s="33"/>
      <c r="D63" s="34" t="s">
        <v>15</v>
      </c>
      <c r="E63" s="43"/>
      <c r="F63" s="43"/>
      <c r="G63" s="44" t="s">
        <v>37</v>
      </c>
      <c r="H63" s="1323">
        <f t="shared" si="9"/>
        <v>95.074662813102123</v>
      </c>
      <c r="I63" s="1324"/>
      <c r="J63" s="488"/>
      <c r="K63" s="489"/>
      <c r="L63" s="490"/>
      <c r="M63" s="491"/>
      <c r="N63" s="481"/>
      <c r="O63" s="482"/>
      <c r="P63" s="483"/>
      <c r="Q63" s="485"/>
      <c r="R63" s="486"/>
      <c r="S63" s="487"/>
      <c r="T63" s="487"/>
      <c r="U63" s="487"/>
    </row>
    <row r="64" spans="1:21" ht="15" customHeight="1">
      <c r="A64" s="1294" t="s">
        <v>87</v>
      </c>
      <c r="B64" s="1318"/>
      <c r="C64" s="1318"/>
      <c r="D64" s="1318"/>
      <c r="E64" s="1318"/>
      <c r="F64" s="1318"/>
      <c r="G64" s="1318"/>
      <c r="H64" s="1318"/>
      <c r="I64" s="1318"/>
      <c r="J64" s="1318"/>
      <c r="K64" s="1318"/>
      <c r="L64" s="1318"/>
      <c r="M64" s="1318"/>
      <c r="N64" s="1318"/>
      <c r="O64" s="1318"/>
      <c r="P64" s="1318"/>
      <c r="Q64" s="1318"/>
      <c r="R64" s="1318"/>
      <c r="S64" s="1318"/>
      <c r="T64" s="1318"/>
      <c r="U64" s="1318"/>
    </row>
    <row r="65" spans="1:21" ht="15" customHeight="1">
      <c r="A65" s="1318"/>
      <c r="B65" s="1318"/>
      <c r="C65" s="1318"/>
      <c r="D65" s="1318"/>
      <c r="E65" s="1318"/>
      <c r="F65" s="1318"/>
      <c r="G65" s="1318"/>
      <c r="H65" s="1318"/>
      <c r="I65" s="1318"/>
      <c r="J65" s="1318"/>
      <c r="K65" s="1318"/>
      <c r="L65" s="1318"/>
      <c r="M65" s="1318"/>
      <c r="N65" s="1318"/>
      <c r="O65" s="1318"/>
      <c r="P65" s="1318"/>
      <c r="Q65" s="1318"/>
      <c r="R65" s="1318"/>
      <c r="S65" s="1318"/>
      <c r="T65" s="1318"/>
      <c r="U65" s="1318"/>
    </row>
  </sheetData>
  <mergeCells count="34">
    <mergeCell ref="H2:T2"/>
    <mergeCell ref="H61:I61"/>
    <mergeCell ref="H44:I44"/>
    <mergeCell ref="H45:I45"/>
    <mergeCell ref="H46:I46"/>
    <mergeCell ref="H47:I47"/>
    <mergeCell ref="H48:I48"/>
    <mergeCell ref="H60:I60"/>
    <mergeCell ref="H50:I50"/>
    <mergeCell ref="H51:I51"/>
    <mergeCell ref="H52:I52"/>
    <mergeCell ref="H53:I53"/>
    <mergeCell ref="H54:I54"/>
    <mergeCell ref="H59:I59"/>
    <mergeCell ref="A4:C8"/>
    <mergeCell ref="A9:C12"/>
    <mergeCell ref="H55:I55"/>
    <mergeCell ref="H56:I56"/>
    <mergeCell ref="H57:I57"/>
    <mergeCell ref="A64:U65"/>
    <mergeCell ref="H34:I34"/>
    <mergeCell ref="H35:I35"/>
    <mergeCell ref="H36:I36"/>
    <mergeCell ref="H37:I37"/>
    <mergeCell ref="H49:I49"/>
    <mergeCell ref="H38:I38"/>
    <mergeCell ref="H39:I39"/>
    <mergeCell ref="H40:I40"/>
    <mergeCell ref="H41:I41"/>
    <mergeCell ref="H42:I42"/>
    <mergeCell ref="H43:I43"/>
    <mergeCell ref="H63:I63"/>
    <mergeCell ref="H62:I62"/>
    <mergeCell ref="H58:I58"/>
  </mergeCells>
  <phoneticPr fontId="5"/>
  <pageMargins left="0.70866141732283472" right="0.70866141732283472" top="0.55118110236220474" bottom="0.55118110236220474" header="0.31496062992125984" footer="0.31496062992125984"/>
  <pageSetup paperSize="8" scale="80" orientation="landscape" r:id="rId1"/>
  <colBreaks count="1" manualBreakCount="1">
    <brk id="21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66"/>
  <sheetViews>
    <sheetView view="pageBreakPreview" topLeftCell="A55" zoomScaleNormal="100" zoomScaleSheetLayoutView="100" workbookViewId="0">
      <pane xSplit="7" topLeftCell="H1" activePane="topRight" state="frozen"/>
      <selection activeCell="S29" sqref="S29"/>
      <selection pane="topRight" activeCell="N77" sqref="N77"/>
    </sheetView>
  </sheetViews>
  <sheetFormatPr defaultRowHeight="11.25"/>
  <cols>
    <col min="1" max="1" width="2.75" style="1" customWidth="1"/>
    <col min="2" max="3" width="6.625" style="1" customWidth="1"/>
    <col min="4" max="4" width="9.875" style="1" customWidth="1"/>
    <col min="5" max="5" width="13.875" style="1" customWidth="1"/>
    <col min="6" max="6" width="10.875" style="1" customWidth="1"/>
    <col min="7" max="7" width="6.375" style="1" bestFit="1" customWidth="1"/>
    <col min="8" max="19" width="11" style="1" customWidth="1"/>
    <col min="20" max="21" width="12.125" style="1" customWidth="1"/>
    <col min="22" max="29" width="7.875" style="1" customWidth="1"/>
    <col min="30" max="30" width="5.625" style="1" customWidth="1"/>
    <col min="31" max="16384" width="9" style="1"/>
  </cols>
  <sheetData>
    <row r="1" spans="1:29" ht="29.25" customHeight="1" thickBot="1">
      <c r="A1" s="2" t="s">
        <v>76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6.5" customHeight="1">
      <c r="A2" s="10"/>
      <c r="B2" s="11"/>
      <c r="C2" s="11"/>
      <c r="D2" s="11"/>
      <c r="E2" s="11"/>
      <c r="F2" s="11"/>
      <c r="G2" s="11"/>
      <c r="H2" s="1284" t="s">
        <v>74</v>
      </c>
      <c r="I2" s="1285"/>
      <c r="J2" s="1285"/>
      <c r="K2" s="1285"/>
      <c r="L2" s="1285"/>
      <c r="M2" s="1285"/>
      <c r="N2" s="1285"/>
      <c r="O2" s="1285"/>
      <c r="P2" s="1285"/>
      <c r="Q2" s="1285"/>
      <c r="R2" s="1285"/>
      <c r="S2" s="1285"/>
      <c r="T2" s="1311"/>
      <c r="U2" s="1004" t="s">
        <v>54</v>
      </c>
      <c r="V2" s="1339"/>
      <c r="W2" s="1330"/>
      <c r="X2" s="1330"/>
      <c r="Y2" s="1330"/>
      <c r="Z2" s="1330"/>
      <c r="AA2" s="1330"/>
      <c r="AB2" s="1330"/>
      <c r="AC2" s="1330"/>
    </row>
    <row r="3" spans="1:29" ht="15.75" thickBot="1">
      <c r="A3" s="19"/>
      <c r="B3" s="20"/>
      <c r="C3" s="20"/>
      <c r="D3" s="20"/>
      <c r="E3" s="20"/>
      <c r="F3" s="20"/>
      <c r="G3" s="20"/>
      <c r="H3" s="1006" t="s">
        <v>55</v>
      </c>
      <c r="I3" s="25" t="s">
        <v>56</v>
      </c>
      <c r="J3" s="25" t="s">
        <v>57</v>
      </c>
      <c r="K3" s="25" t="s">
        <v>58</v>
      </c>
      <c r="L3" s="25" t="s">
        <v>59</v>
      </c>
      <c r="M3" s="25" t="s">
        <v>60</v>
      </c>
      <c r="N3" s="25" t="s">
        <v>61</v>
      </c>
      <c r="O3" s="25" t="s">
        <v>62</v>
      </c>
      <c r="P3" s="25" t="s">
        <v>63</v>
      </c>
      <c r="Q3" s="25" t="s">
        <v>64</v>
      </c>
      <c r="R3" s="25" t="s">
        <v>65</v>
      </c>
      <c r="S3" s="27" t="s">
        <v>67</v>
      </c>
      <c r="T3" s="27" t="s">
        <v>69</v>
      </c>
      <c r="U3" s="27" t="s">
        <v>69</v>
      </c>
      <c r="V3" s="493"/>
      <c r="W3" s="94"/>
      <c r="X3" s="94"/>
      <c r="Y3" s="94"/>
      <c r="Z3" s="92"/>
      <c r="AA3" s="94"/>
      <c r="AB3" s="94"/>
      <c r="AC3" s="94"/>
    </row>
    <row r="4" spans="1:29" ht="15.75" thickTop="1">
      <c r="A4" s="39" t="s">
        <v>20</v>
      </c>
      <c r="B4" s="36"/>
      <c r="C4" s="36"/>
      <c r="D4" s="53" t="s">
        <v>16</v>
      </c>
      <c r="E4" s="54"/>
      <c r="F4" s="54"/>
      <c r="G4" s="55" t="s">
        <v>41</v>
      </c>
      <c r="H4" s="1080">
        <f>SUM(H5:H8)</f>
        <v>61792676</v>
      </c>
      <c r="I4" s="1081">
        <f t="shared" ref="I4:S4" si="0">SUM(I5:I8)</f>
        <v>62202160</v>
      </c>
      <c r="J4" s="1081">
        <f t="shared" si="0"/>
        <v>63949234</v>
      </c>
      <c r="K4" s="1082">
        <f t="shared" si="0"/>
        <v>61269500</v>
      </c>
      <c r="L4" s="1082">
        <f>SUM(L5:L8)</f>
        <v>62730546</v>
      </c>
      <c r="M4" s="1082">
        <f>SUM(M5:M8)</f>
        <v>62805284</v>
      </c>
      <c r="N4" s="1081">
        <f t="shared" si="0"/>
        <v>61722023</v>
      </c>
      <c r="O4" s="1081">
        <f t="shared" si="0"/>
        <v>61097352</v>
      </c>
      <c r="P4" s="1081">
        <f t="shared" si="0"/>
        <v>60826371</v>
      </c>
      <c r="Q4" s="1082">
        <f t="shared" si="0"/>
        <v>63032332</v>
      </c>
      <c r="R4" s="1082">
        <f t="shared" si="0"/>
        <v>62369969</v>
      </c>
      <c r="S4" s="1083">
        <f t="shared" si="0"/>
        <v>56112941</v>
      </c>
      <c r="T4" s="1092">
        <f t="shared" ref="T4:T23" si="1">SUM(H4:S4)</f>
        <v>739910388</v>
      </c>
      <c r="U4" s="1041">
        <f>SUM(U5:U8)</f>
        <v>710551000</v>
      </c>
      <c r="V4" s="494"/>
      <c r="W4" s="495"/>
      <c r="X4" s="496"/>
      <c r="Y4" s="497"/>
      <c r="Z4" s="498"/>
      <c r="AA4" s="499"/>
      <c r="AB4" s="500"/>
      <c r="AC4" s="501"/>
    </row>
    <row r="5" spans="1:29" ht="15">
      <c r="A5" s="14"/>
      <c r="B5" s="38"/>
      <c r="C5" s="38"/>
      <c r="D5" s="4" t="s">
        <v>21</v>
      </c>
      <c r="E5" s="47"/>
      <c r="F5" s="47"/>
      <c r="G5" s="48" t="s">
        <v>35</v>
      </c>
      <c r="H5" s="1014">
        <v>26244450</v>
      </c>
      <c r="I5" s="1015">
        <v>25787952</v>
      </c>
      <c r="J5" s="1015">
        <v>26494767</v>
      </c>
      <c r="K5" s="1016">
        <v>25868700</v>
      </c>
      <c r="L5" s="1016">
        <v>26211303</v>
      </c>
      <c r="M5" s="1016">
        <v>26231051</v>
      </c>
      <c r="N5" s="1015">
        <v>25605862</v>
      </c>
      <c r="O5" s="1015">
        <v>25793165</v>
      </c>
      <c r="P5" s="1015">
        <v>24953439</v>
      </c>
      <c r="Q5" s="1016">
        <v>25493429</v>
      </c>
      <c r="R5" s="1016">
        <v>25865921</v>
      </c>
      <c r="S5" s="1017">
        <v>23210512</v>
      </c>
      <c r="T5" s="1017">
        <f t="shared" si="1"/>
        <v>307760551</v>
      </c>
      <c r="U5" s="1017">
        <v>313714000</v>
      </c>
      <c r="V5" s="502"/>
      <c r="W5" s="503"/>
      <c r="X5" s="504"/>
      <c r="Y5" s="505"/>
      <c r="Z5" s="506"/>
      <c r="AA5" s="507"/>
      <c r="AB5" s="508"/>
      <c r="AC5" s="509"/>
    </row>
    <row r="6" spans="1:29" ht="15">
      <c r="A6" s="14"/>
      <c r="B6" s="38"/>
      <c r="C6" s="38"/>
      <c r="D6" s="4" t="s">
        <v>32</v>
      </c>
      <c r="E6" s="5"/>
      <c r="F6" s="5"/>
      <c r="G6" s="13" t="s">
        <v>35</v>
      </c>
      <c r="H6" s="1014">
        <v>15787943</v>
      </c>
      <c r="I6" s="1015">
        <v>15618883</v>
      </c>
      <c r="J6" s="1015">
        <v>16263363</v>
      </c>
      <c r="K6" s="1016">
        <v>15948580</v>
      </c>
      <c r="L6" s="1016">
        <v>16402539</v>
      </c>
      <c r="M6" s="1016">
        <v>17197844</v>
      </c>
      <c r="N6" s="1015">
        <v>16846664</v>
      </c>
      <c r="O6" s="1015">
        <v>16312028</v>
      </c>
      <c r="P6" s="1015">
        <v>16773305</v>
      </c>
      <c r="Q6" s="1016">
        <v>16664950</v>
      </c>
      <c r="R6" s="1016">
        <v>16751210</v>
      </c>
      <c r="S6" s="1017">
        <v>15060909</v>
      </c>
      <c r="T6" s="1017">
        <f t="shared" si="1"/>
        <v>195628218</v>
      </c>
      <c r="U6" s="1017">
        <v>190092000</v>
      </c>
      <c r="V6" s="510"/>
      <c r="W6" s="511"/>
      <c r="X6" s="512"/>
      <c r="Y6" s="513"/>
      <c r="Z6" s="514"/>
      <c r="AA6" s="515"/>
      <c r="AB6" s="516"/>
      <c r="AC6" s="517"/>
    </row>
    <row r="7" spans="1:29" ht="15">
      <c r="A7" s="14"/>
      <c r="B7" s="38"/>
      <c r="C7" s="38"/>
      <c r="D7" s="4" t="s">
        <v>22</v>
      </c>
      <c r="E7" s="5"/>
      <c r="F7" s="5"/>
      <c r="G7" s="13" t="s">
        <v>35</v>
      </c>
      <c r="H7" s="1014">
        <v>15859149</v>
      </c>
      <c r="I7" s="1015">
        <v>17084049</v>
      </c>
      <c r="J7" s="1015">
        <v>16886395</v>
      </c>
      <c r="K7" s="1016">
        <v>14874393</v>
      </c>
      <c r="L7" s="1016">
        <v>16044051</v>
      </c>
      <c r="M7" s="1016">
        <v>15904513</v>
      </c>
      <c r="N7" s="1015">
        <v>15993250</v>
      </c>
      <c r="O7" s="1015">
        <v>15129822</v>
      </c>
      <c r="P7" s="1015">
        <v>15505558</v>
      </c>
      <c r="Q7" s="1016">
        <v>16987402</v>
      </c>
      <c r="R7" s="1016">
        <v>15029593</v>
      </c>
      <c r="S7" s="1017">
        <v>13608631</v>
      </c>
      <c r="T7" s="1017">
        <f t="shared" si="1"/>
        <v>188906806</v>
      </c>
      <c r="U7" s="1017">
        <v>155400000</v>
      </c>
      <c r="V7" s="518"/>
      <c r="W7" s="519"/>
      <c r="X7" s="520"/>
      <c r="Y7" s="521"/>
      <c r="Z7" s="522"/>
      <c r="AA7" s="523"/>
      <c r="AB7" s="524"/>
      <c r="AC7" s="525"/>
    </row>
    <row r="8" spans="1:29" ht="15">
      <c r="A8" s="14"/>
      <c r="B8" s="38"/>
      <c r="C8" s="38"/>
      <c r="D8" s="49" t="s">
        <v>23</v>
      </c>
      <c r="E8" s="36"/>
      <c r="F8" s="36"/>
      <c r="G8" s="50" t="s">
        <v>35</v>
      </c>
      <c r="H8" s="1042">
        <f>323247+3577887</f>
        <v>3901134</v>
      </c>
      <c r="I8" s="1043">
        <f>256170+3455106</f>
        <v>3711276</v>
      </c>
      <c r="J8" s="1043">
        <f>339939+3964770</f>
        <v>4304709</v>
      </c>
      <c r="K8" s="1044">
        <f>381807+4196020</f>
        <v>4577827</v>
      </c>
      <c r="L8" s="1044">
        <f>287694+3784959</f>
        <v>4072653</v>
      </c>
      <c r="M8" s="1044">
        <f>233964+3237912</f>
        <v>3471876</v>
      </c>
      <c r="N8" s="1043">
        <f>144009+3132238</f>
        <v>3276247</v>
      </c>
      <c r="O8" s="1043">
        <f>280899+3581438</f>
        <v>3862337</v>
      </c>
      <c r="P8" s="1043">
        <f>274356+3319713</f>
        <v>3594069</v>
      </c>
      <c r="Q8" s="1044">
        <v>3886551</v>
      </c>
      <c r="R8" s="1044">
        <v>4723245</v>
      </c>
      <c r="S8" s="1045">
        <v>4232889</v>
      </c>
      <c r="T8" s="1045">
        <f t="shared" si="1"/>
        <v>47614813</v>
      </c>
      <c r="U8" s="1045">
        <v>51345000</v>
      </c>
      <c r="V8" s="526"/>
      <c r="W8" s="527"/>
      <c r="X8" s="528"/>
      <c r="Y8" s="529"/>
      <c r="Z8" s="530"/>
      <c r="AA8" s="531"/>
      <c r="AB8" s="532"/>
      <c r="AC8" s="533"/>
    </row>
    <row r="9" spans="1:29" ht="15">
      <c r="A9" s="39" t="s">
        <v>2</v>
      </c>
      <c r="B9" s="36"/>
      <c r="C9" s="36"/>
      <c r="D9" s="53" t="s">
        <v>16</v>
      </c>
      <c r="E9" s="54"/>
      <c r="F9" s="54"/>
      <c r="G9" s="56" t="s">
        <v>35</v>
      </c>
      <c r="H9" s="1038">
        <f>SUM(H10:H12)</f>
        <v>14336964</v>
      </c>
      <c r="I9" s="1039">
        <f t="shared" ref="I9:S9" si="2">SUM(I10:I12)</f>
        <v>13199553</v>
      </c>
      <c r="J9" s="1039">
        <f t="shared" si="2"/>
        <v>13842621</v>
      </c>
      <c r="K9" s="1040">
        <f t="shared" si="2"/>
        <v>14390307</v>
      </c>
      <c r="L9" s="1040">
        <f>SUM(L10:L12)</f>
        <v>14249394</v>
      </c>
      <c r="M9" s="1040">
        <f>SUM(M10:M12)</f>
        <v>14414643</v>
      </c>
      <c r="N9" s="1039">
        <f t="shared" si="2"/>
        <v>13447908</v>
      </c>
      <c r="O9" s="1039">
        <f t="shared" si="2"/>
        <v>13740831</v>
      </c>
      <c r="P9" s="1039">
        <f t="shared" si="2"/>
        <v>15783255</v>
      </c>
      <c r="Q9" s="1040">
        <f t="shared" si="2"/>
        <v>14015286</v>
      </c>
      <c r="R9" s="1040">
        <f t="shared" si="2"/>
        <v>14742666</v>
      </c>
      <c r="S9" s="1041">
        <f t="shared" si="2"/>
        <v>12909996</v>
      </c>
      <c r="T9" s="1128">
        <f t="shared" si="1"/>
        <v>169073424</v>
      </c>
      <c r="U9" s="1041">
        <f>SUM(U10:U12)</f>
        <v>170458000</v>
      </c>
      <c r="V9" s="534"/>
      <c r="W9" s="535"/>
      <c r="X9" s="536"/>
      <c r="Y9" s="537"/>
      <c r="Z9" s="538"/>
      <c r="AA9" s="539"/>
      <c r="AB9" s="540"/>
      <c r="AC9" s="541"/>
    </row>
    <row r="10" spans="1:29" ht="15">
      <c r="A10" s="14"/>
      <c r="B10" s="38"/>
      <c r="C10" s="38"/>
      <c r="D10" s="4" t="s">
        <v>17</v>
      </c>
      <c r="E10" s="5"/>
      <c r="F10" s="5"/>
      <c r="G10" s="13" t="s">
        <v>35</v>
      </c>
      <c r="H10" s="1014">
        <v>250128</v>
      </c>
      <c r="I10" s="1015">
        <v>247932</v>
      </c>
      <c r="J10" s="1015">
        <v>256167</v>
      </c>
      <c r="K10" s="1016">
        <v>422928</v>
      </c>
      <c r="L10" s="1016">
        <v>436995</v>
      </c>
      <c r="M10" s="1016">
        <v>419490</v>
      </c>
      <c r="N10" s="1015">
        <v>403938</v>
      </c>
      <c r="O10" s="1015">
        <v>614142</v>
      </c>
      <c r="P10" s="1015">
        <v>678825</v>
      </c>
      <c r="Q10" s="1016">
        <v>373788</v>
      </c>
      <c r="R10" s="1016">
        <v>378981</v>
      </c>
      <c r="S10" s="1017">
        <v>342378</v>
      </c>
      <c r="T10" s="1017">
        <f t="shared" si="1"/>
        <v>4825692</v>
      </c>
      <c r="U10" s="1017">
        <v>5139000</v>
      </c>
      <c r="V10" s="542"/>
      <c r="W10" s="543"/>
      <c r="X10" s="544"/>
      <c r="Y10" s="545"/>
      <c r="Z10" s="546"/>
      <c r="AA10" s="547"/>
      <c r="AB10" s="548"/>
      <c r="AC10" s="549"/>
    </row>
    <row r="11" spans="1:29" ht="15">
      <c r="A11" s="14"/>
      <c r="B11" s="38"/>
      <c r="C11" s="38"/>
      <c r="D11" s="4" t="s">
        <v>19</v>
      </c>
      <c r="E11" s="5"/>
      <c r="F11" s="5"/>
      <c r="G11" s="13" t="s">
        <v>35</v>
      </c>
      <c r="H11" s="1014">
        <v>0</v>
      </c>
      <c r="I11" s="1015">
        <v>0</v>
      </c>
      <c r="J11" s="1015">
        <v>0</v>
      </c>
      <c r="K11" s="1016">
        <v>0</v>
      </c>
      <c r="L11" s="1016">
        <v>0</v>
      </c>
      <c r="M11" s="1016">
        <v>0</v>
      </c>
      <c r="N11" s="1015">
        <v>0</v>
      </c>
      <c r="O11" s="1015">
        <v>0</v>
      </c>
      <c r="P11" s="1015">
        <v>0</v>
      </c>
      <c r="Q11" s="1016">
        <v>0</v>
      </c>
      <c r="R11" s="1016">
        <v>0</v>
      </c>
      <c r="S11" s="1017">
        <v>0</v>
      </c>
      <c r="T11" s="1017">
        <f t="shared" si="1"/>
        <v>0</v>
      </c>
      <c r="U11" s="1017">
        <v>0</v>
      </c>
      <c r="V11" s="550"/>
      <c r="W11" s="551"/>
      <c r="X11" s="552"/>
      <c r="Y11" s="553"/>
      <c r="Z11" s="554"/>
      <c r="AA11" s="555"/>
      <c r="AB11" s="556"/>
      <c r="AC11" s="557"/>
    </row>
    <row r="12" spans="1:29" ht="15">
      <c r="A12" s="15"/>
      <c r="B12" s="37"/>
      <c r="C12" s="37"/>
      <c r="D12" s="4" t="s">
        <v>18</v>
      </c>
      <c r="E12" s="5"/>
      <c r="F12" s="5"/>
      <c r="G12" s="13" t="s">
        <v>35</v>
      </c>
      <c r="H12" s="1042">
        <v>14086836</v>
      </c>
      <c r="I12" s="1043">
        <v>12951621</v>
      </c>
      <c r="J12" s="1043">
        <v>13586454</v>
      </c>
      <c r="K12" s="1044">
        <f>13774986+192393</f>
        <v>13967379</v>
      </c>
      <c r="L12" s="1044">
        <f>13581423+230976</f>
        <v>13812399</v>
      </c>
      <c r="M12" s="1044">
        <f>13787847+207306</f>
        <v>13995153</v>
      </c>
      <c r="N12" s="1043">
        <f>12821859+222111</f>
        <v>13043970</v>
      </c>
      <c r="O12" s="1043">
        <v>13126689</v>
      </c>
      <c r="P12" s="1043">
        <v>15104430</v>
      </c>
      <c r="Q12" s="1044">
        <v>13641498</v>
      </c>
      <c r="R12" s="1044">
        <v>14363685</v>
      </c>
      <c r="S12" s="1045">
        <v>12567618</v>
      </c>
      <c r="T12" s="1045">
        <f t="shared" si="1"/>
        <v>164247732</v>
      </c>
      <c r="U12" s="1045">
        <v>165319000</v>
      </c>
      <c r="V12" s="558"/>
      <c r="W12" s="559"/>
      <c r="X12" s="560"/>
      <c r="Y12" s="561"/>
      <c r="Z12" s="562"/>
      <c r="AA12" s="563"/>
      <c r="AB12" s="564"/>
      <c r="AC12" s="565"/>
    </row>
    <row r="13" spans="1:29" ht="15">
      <c r="A13" s="39" t="s">
        <v>1</v>
      </c>
      <c r="B13" s="36"/>
      <c r="C13" s="36"/>
      <c r="D13" s="53" t="s">
        <v>16</v>
      </c>
      <c r="E13" s="54"/>
      <c r="F13" s="54"/>
      <c r="G13" s="56" t="s">
        <v>35</v>
      </c>
      <c r="H13" s="1038">
        <f>SUM(H14:H32)</f>
        <v>83093391</v>
      </c>
      <c r="I13" s="1039">
        <f t="shared" ref="I13:U13" si="3">SUM(I14:I32)</f>
        <v>80377070</v>
      </c>
      <c r="J13" s="1039">
        <f t="shared" si="3"/>
        <v>83069541</v>
      </c>
      <c r="K13" s="1040">
        <f t="shared" si="3"/>
        <v>83637859</v>
      </c>
      <c r="L13" s="1040">
        <f t="shared" si="3"/>
        <v>86419323</v>
      </c>
      <c r="M13" s="1040">
        <f t="shared" si="3"/>
        <v>84477869</v>
      </c>
      <c r="N13" s="1039">
        <f t="shared" si="3"/>
        <v>82956221</v>
      </c>
      <c r="O13" s="1039">
        <f t="shared" si="3"/>
        <v>83536612</v>
      </c>
      <c r="P13" s="1039">
        <f t="shared" si="3"/>
        <v>82549007</v>
      </c>
      <c r="Q13" s="1040">
        <f t="shared" si="3"/>
        <v>83241314</v>
      </c>
      <c r="R13" s="1040">
        <f t="shared" si="3"/>
        <v>79075847</v>
      </c>
      <c r="S13" s="1041">
        <f t="shared" si="3"/>
        <v>76398889</v>
      </c>
      <c r="T13" s="1128">
        <f t="shared" si="3"/>
        <v>988832943</v>
      </c>
      <c r="U13" s="1047">
        <f t="shared" si="3"/>
        <v>1093344000</v>
      </c>
      <c r="V13" s="566"/>
      <c r="W13" s="567"/>
      <c r="X13" s="568"/>
      <c r="Y13" s="569"/>
      <c r="Z13" s="570"/>
      <c r="AA13" s="571"/>
      <c r="AB13" s="572"/>
      <c r="AC13" s="573"/>
    </row>
    <row r="14" spans="1:29" ht="15">
      <c r="A14" s="14"/>
      <c r="B14" s="38"/>
      <c r="C14" s="38"/>
      <c r="D14" s="4" t="s">
        <v>25</v>
      </c>
      <c r="E14" s="5"/>
      <c r="F14" s="5"/>
      <c r="G14" s="13" t="s">
        <v>35</v>
      </c>
      <c r="H14" s="1014">
        <v>20545221</v>
      </c>
      <c r="I14" s="1015">
        <v>20470901</v>
      </c>
      <c r="J14" s="1015">
        <v>19484002</v>
      </c>
      <c r="K14" s="1016">
        <v>19316197</v>
      </c>
      <c r="L14" s="1016">
        <v>19982862</v>
      </c>
      <c r="M14" s="1126">
        <v>20484996</v>
      </c>
      <c r="N14" s="1015">
        <v>20159508</v>
      </c>
      <c r="O14" s="1015">
        <v>19854638</v>
      </c>
      <c r="P14" s="1015">
        <v>19763936</v>
      </c>
      <c r="Q14" s="1016">
        <v>19806559</v>
      </c>
      <c r="R14" s="1016">
        <f>19664369+16380</f>
        <v>19680749</v>
      </c>
      <c r="S14" s="1017">
        <v>18459178</v>
      </c>
      <c r="T14" s="1017">
        <f t="shared" si="1"/>
        <v>238008747</v>
      </c>
      <c r="U14" s="1017">
        <v>235076000</v>
      </c>
      <c r="V14" s="574"/>
      <c r="W14" s="575"/>
      <c r="X14" s="576"/>
      <c r="Y14" s="577"/>
      <c r="Z14" s="578"/>
      <c r="AA14" s="579"/>
      <c r="AB14" s="580"/>
      <c r="AC14" s="581"/>
    </row>
    <row r="15" spans="1:29" ht="15">
      <c r="A15" s="14"/>
      <c r="B15" s="38"/>
      <c r="C15" s="38"/>
      <c r="D15" s="4" t="s">
        <v>26</v>
      </c>
      <c r="E15" s="5"/>
      <c r="F15" s="5"/>
      <c r="G15" s="13" t="s">
        <v>35</v>
      </c>
      <c r="H15" s="1014">
        <v>568610</v>
      </c>
      <c r="I15" s="1015">
        <v>504066</v>
      </c>
      <c r="J15" s="1015">
        <v>456789</v>
      </c>
      <c r="K15" s="1016">
        <v>408486</v>
      </c>
      <c r="L15" s="1016">
        <v>589783</v>
      </c>
      <c r="M15" s="1126">
        <v>474147</v>
      </c>
      <c r="N15" s="1015">
        <v>571059</v>
      </c>
      <c r="O15" s="1015">
        <v>460881</v>
      </c>
      <c r="P15" s="1015">
        <v>532638</v>
      </c>
      <c r="Q15" s="1016">
        <v>496908</v>
      </c>
      <c r="R15" s="1016">
        <v>521829</v>
      </c>
      <c r="S15" s="1017">
        <v>657126</v>
      </c>
      <c r="T15" s="1017">
        <f t="shared" si="1"/>
        <v>6242322</v>
      </c>
      <c r="U15" s="1017">
        <v>10196000</v>
      </c>
      <c r="V15" s="582"/>
      <c r="W15" s="583"/>
      <c r="X15" s="584"/>
      <c r="Y15" s="585"/>
      <c r="Z15" s="586"/>
      <c r="AA15" s="587"/>
      <c r="AB15" s="588"/>
      <c r="AC15" s="589"/>
    </row>
    <row r="16" spans="1:29" ht="15">
      <c r="A16" s="14"/>
      <c r="B16" s="38"/>
      <c r="C16" s="38"/>
      <c r="D16" s="4" t="s">
        <v>27</v>
      </c>
      <c r="E16" s="5"/>
      <c r="F16" s="5"/>
      <c r="G16" s="13" t="s">
        <v>35</v>
      </c>
      <c r="H16" s="1014">
        <v>2680859</v>
      </c>
      <c r="I16" s="1015">
        <v>3024475</v>
      </c>
      <c r="J16" s="1015">
        <v>3341430</v>
      </c>
      <c r="K16" s="1016">
        <f>27756+3482355</f>
        <v>3510111</v>
      </c>
      <c r="L16" s="1016">
        <f>3653735+61722</f>
        <v>3715457</v>
      </c>
      <c r="M16" s="1016">
        <f>3532884+54855</f>
        <v>3587739</v>
      </c>
      <c r="N16" s="1015">
        <f>3225062+40977</f>
        <v>3266039</v>
      </c>
      <c r="O16" s="1015">
        <f>3681549+61794</f>
        <v>3743343</v>
      </c>
      <c r="P16" s="1015">
        <f>29952+2961780</f>
        <v>2991732</v>
      </c>
      <c r="Q16" s="1016">
        <v>3547597</v>
      </c>
      <c r="R16" s="1016">
        <v>3345597</v>
      </c>
      <c r="S16" s="1017">
        <f>44604+3269910</f>
        <v>3314514</v>
      </c>
      <c r="T16" s="1017">
        <f t="shared" si="1"/>
        <v>40068893</v>
      </c>
      <c r="U16" s="1017">
        <v>53471000</v>
      </c>
      <c r="V16" s="590"/>
      <c r="W16" s="591"/>
      <c r="X16" s="592"/>
      <c r="Y16" s="593"/>
      <c r="Z16" s="594"/>
      <c r="AA16" s="595"/>
      <c r="AB16" s="596"/>
      <c r="AC16" s="597"/>
    </row>
    <row r="17" spans="1:29" ht="15">
      <c r="A17" s="14"/>
      <c r="B17" s="38"/>
      <c r="C17" s="38"/>
      <c r="D17" s="4" t="s">
        <v>28</v>
      </c>
      <c r="E17" s="5"/>
      <c r="F17" s="5"/>
      <c r="G17" s="13" t="s">
        <v>35</v>
      </c>
      <c r="H17" s="1014">
        <v>144975</v>
      </c>
      <c r="I17" s="1015">
        <v>158825</v>
      </c>
      <c r="J17" s="1015">
        <v>201593</v>
      </c>
      <c r="K17" s="1016">
        <v>199289</v>
      </c>
      <c r="L17" s="1016">
        <v>181780</v>
      </c>
      <c r="M17" s="1016">
        <v>163800</v>
      </c>
      <c r="N17" s="1015">
        <v>145980</v>
      </c>
      <c r="O17" s="1015">
        <v>212985</v>
      </c>
      <c r="P17" s="1015">
        <v>217386</v>
      </c>
      <c r="Q17" s="1016">
        <v>190593</v>
      </c>
      <c r="R17" s="1016">
        <v>160731</v>
      </c>
      <c r="S17" s="1017">
        <v>144954</v>
      </c>
      <c r="T17" s="1017">
        <f t="shared" si="1"/>
        <v>2122891</v>
      </c>
      <c r="U17" s="1017">
        <v>470000</v>
      </c>
      <c r="V17" s="598"/>
      <c r="W17" s="599"/>
      <c r="X17" s="600"/>
      <c r="Y17" s="601"/>
      <c r="Z17" s="602"/>
      <c r="AA17" s="603"/>
      <c r="AB17" s="604"/>
      <c r="AC17" s="605"/>
    </row>
    <row r="18" spans="1:29" ht="15">
      <c r="A18" s="14"/>
      <c r="B18" s="38"/>
      <c r="C18" s="38"/>
      <c r="D18" s="4" t="s">
        <v>29</v>
      </c>
      <c r="E18" s="5"/>
      <c r="F18" s="5"/>
      <c r="G18" s="13" t="s">
        <v>35</v>
      </c>
      <c r="H18" s="1014">
        <v>423627</v>
      </c>
      <c r="I18" s="1015">
        <v>452662</v>
      </c>
      <c r="J18" s="1015">
        <v>432048</v>
      </c>
      <c r="K18" s="1016">
        <f>502862+23184</f>
        <v>526046</v>
      </c>
      <c r="L18" s="1016">
        <f>527639+23175</f>
        <v>550814</v>
      </c>
      <c r="M18" s="1016">
        <f>407761+13140</f>
        <v>420901</v>
      </c>
      <c r="N18" s="1015">
        <f>452065+23184</f>
        <v>475249</v>
      </c>
      <c r="O18" s="1015">
        <f>494093+24489</f>
        <v>518582</v>
      </c>
      <c r="P18" s="1015">
        <f>19467+402575</f>
        <v>422042</v>
      </c>
      <c r="Q18" s="1016">
        <v>504996</v>
      </c>
      <c r="R18" s="1016">
        <f>377501+34065</f>
        <v>411566</v>
      </c>
      <c r="S18" s="1017">
        <f>47934+475667</f>
        <v>523601</v>
      </c>
      <c r="T18" s="1017">
        <f t="shared" si="1"/>
        <v>5662134</v>
      </c>
      <c r="U18" s="1017">
        <v>5469000</v>
      </c>
      <c r="V18" s="606"/>
      <c r="W18" s="607"/>
      <c r="X18" s="608"/>
      <c r="Y18" s="609"/>
      <c r="Z18" s="610"/>
      <c r="AA18" s="611"/>
      <c r="AB18" s="612"/>
      <c r="AC18" s="613"/>
    </row>
    <row r="19" spans="1:29" ht="15">
      <c r="A19" s="14"/>
      <c r="B19" s="38"/>
      <c r="C19" s="38"/>
      <c r="D19" s="4" t="s">
        <v>5</v>
      </c>
      <c r="E19" s="5"/>
      <c r="F19" s="5"/>
      <c r="G19" s="13" t="s">
        <v>35</v>
      </c>
      <c r="H19" s="1014">
        <v>29457415</v>
      </c>
      <c r="I19" s="1015">
        <v>27820253</v>
      </c>
      <c r="J19" s="1015">
        <v>28802731</v>
      </c>
      <c r="K19" s="1016">
        <v>29280985</v>
      </c>
      <c r="L19" s="1016">
        <v>29395848</v>
      </c>
      <c r="M19" s="1016">
        <v>28688376</v>
      </c>
      <c r="N19" s="1015">
        <v>27831319</v>
      </c>
      <c r="O19" s="1015">
        <v>29499575</v>
      </c>
      <c r="P19" s="1015">
        <v>27021261</v>
      </c>
      <c r="Q19" s="1016">
        <v>26061330</v>
      </c>
      <c r="R19" s="1016">
        <v>24522663</v>
      </c>
      <c r="S19" s="1017">
        <v>24306011</v>
      </c>
      <c r="T19" s="1017">
        <f t="shared" si="1"/>
        <v>332687767</v>
      </c>
      <c r="U19" s="1017">
        <v>344578000</v>
      </c>
      <c r="V19" s="614"/>
      <c r="W19" s="615"/>
      <c r="X19" s="616"/>
      <c r="Y19" s="617"/>
      <c r="Z19" s="618"/>
      <c r="AA19" s="619"/>
      <c r="AB19" s="620"/>
      <c r="AC19" s="621"/>
    </row>
    <row r="20" spans="1:29" ht="15">
      <c r="A20" s="14"/>
      <c r="B20" s="38"/>
      <c r="C20" s="38"/>
      <c r="D20" s="4" t="s">
        <v>6</v>
      </c>
      <c r="E20" s="5"/>
      <c r="F20" s="5"/>
      <c r="G20" s="13" t="s">
        <v>35</v>
      </c>
      <c r="H20" s="1014">
        <v>520341</v>
      </c>
      <c r="I20" s="1015">
        <v>480628</v>
      </c>
      <c r="J20" s="1015">
        <v>533988</v>
      </c>
      <c r="K20" s="1016">
        <v>392312</v>
      </c>
      <c r="L20" s="1016">
        <v>423240</v>
      </c>
      <c r="M20" s="1016">
        <v>430746</v>
      </c>
      <c r="N20" s="1015">
        <v>382398</v>
      </c>
      <c r="O20" s="1015">
        <v>331650</v>
      </c>
      <c r="P20" s="1015">
        <v>334557</v>
      </c>
      <c r="Q20" s="1016">
        <v>326043</v>
      </c>
      <c r="R20" s="1016">
        <v>313461</v>
      </c>
      <c r="S20" s="1017">
        <v>426582</v>
      </c>
      <c r="T20" s="1017">
        <f t="shared" si="1"/>
        <v>4895946</v>
      </c>
      <c r="U20" s="1017">
        <v>11722000</v>
      </c>
      <c r="V20" s="622"/>
      <c r="W20" s="623"/>
      <c r="X20" s="624"/>
      <c r="Y20" s="625"/>
      <c r="Z20" s="626"/>
      <c r="AA20" s="627"/>
      <c r="AB20" s="628"/>
      <c r="AC20" s="629"/>
    </row>
    <row r="21" spans="1:29" ht="15">
      <c r="A21" s="14"/>
      <c r="B21" s="38"/>
      <c r="C21" s="38"/>
      <c r="D21" s="4" t="s">
        <v>7</v>
      </c>
      <c r="E21" s="5"/>
      <c r="F21" s="5"/>
      <c r="G21" s="13" t="s">
        <v>35</v>
      </c>
      <c r="H21" s="1014">
        <v>6673584</v>
      </c>
      <c r="I21" s="1015">
        <v>6425100</v>
      </c>
      <c r="J21" s="1015">
        <v>6896818</v>
      </c>
      <c r="K21" s="1016">
        <f>6158109+936144</f>
        <v>7094253</v>
      </c>
      <c r="L21" s="1016">
        <f>6163187+1010826</f>
        <v>7174013</v>
      </c>
      <c r="M21" s="1016">
        <f>6150355+1017396</f>
        <v>7167751</v>
      </c>
      <c r="N21" s="1015">
        <f>6104953+1015047</f>
        <v>7120000</v>
      </c>
      <c r="O21" s="1015">
        <f>6014050+974907</f>
        <v>6988957</v>
      </c>
      <c r="P21" s="1015">
        <f>1038447+6037934</f>
        <v>7076381</v>
      </c>
      <c r="Q21" s="1016">
        <v>7229093</v>
      </c>
      <c r="R21" s="1016">
        <f>6093142+1018610</f>
        <v>7111752</v>
      </c>
      <c r="S21" s="1017">
        <f>1038248+5608321</f>
        <v>6646569</v>
      </c>
      <c r="T21" s="1017">
        <f t="shared" si="1"/>
        <v>83604271</v>
      </c>
      <c r="U21" s="1017">
        <v>83472000</v>
      </c>
      <c r="V21" s="630"/>
      <c r="W21" s="631"/>
      <c r="X21" s="632"/>
      <c r="Y21" s="633"/>
      <c r="Z21" s="634"/>
      <c r="AA21" s="635"/>
      <c r="AB21" s="636"/>
      <c r="AC21" s="637"/>
    </row>
    <row r="22" spans="1:29" ht="15">
      <c r="A22" s="14"/>
      <c r="B22" s="38"/>
      <c r="C22" s="38"/>
      <c r="D22" s="4" t="s">
        <v>11</v>
      </c>
      <c r="E22" s="5"/>
      <c r="F22" s="5"/>
      <c r="G22" s="13" t="s">
        <v>35</v>
      </c>
      <c r="H22" s="1014">
        <v>6655843</v>
      </c>
      <c r="I22" s="1015">
        <v>5723725</v>
      </c>
      <c r="J22" s="1015">
        <v>7013544</v>
      </c>
      <c r="K22" s="1016">
        <f>6864448+152622</f>
        <v>7017070</v>
      </c>
      <c r="L22" s="1016">
        <f>7773457+46667</f>
        <v>7820124</v>
      </c>
      <c r="M22" s="1016">
        <f>7107043+44235</f>
        <v>7151278</v>
      </c>
      <c r="N22" s="1015">
        <f>6998352+125451</f>
        <v>7123803</v>
      </c>
      <c r="O22" s="1015">
        <f>6759819+65259</f>
        <v>6825078</v>
      </c>
      <c r="P22" s="1015">
        <f>69435+8051618</f>
        <v>8121053</v>
      </c>
      <c r="Q22" s="1016">
        <v>7736501</v>
      </c>
      <c r="R22" s="1016">
        <f>6981615+122526</f>
        <v>7104141</v>
      </c>
      <c r="S22" s="1017">
        <f>55188+6131392</f>
        <v>6186580</v>
      </c>
      <c r="T22" s="1017">
        <f t="shared" si="1"/>
        <v>84478740</v>
      </c>
      <c r="U22" s="1017">
        <v>123596000</v>
      </c>
      <c r="V22" s="638"/>
      <c r="W22" s="639"/>
      <c r="X22" s="640"/>
      <c r="Y22" s="641"/>
      <c r="Z22" s="642"/>
      <c r="AA22" s="643"/>
      <c r="AB22" s="644"/>
      <c r="AC22" s="645"/>
    </row>
    <row r="23" spans="1:29" ht="15">
      <c r="A23" s="14"/>
      <c r="B23" s="38"/>
      <c r="C23" s="38"/>
      <c r="D23" s="4" t="s">
        <v>128</v>
      </c>
      <c r="E23" s="5"/>
      <c r="F23" s="5"/>
      <c r="G23" s="13" t="s">
        <v>35</v>
      </c>
      <c r="H23" s="1014">
        <v>253827</v>
      </c>
      <c r="I23" s="1015">
        <v>198126</v>
      </c>
      <c r="J23" s="1015">
        <v>254988</v>
      </c>
      <c r="K23" s="1016">
        <v>382140</v>
      </c>
      <c r="L23" s="1016">
        <v>523629</v>
      </c>
      <c r="M23" s="1016">
        <v>397323</v>
      </c>
      <c r="N23" s="1015">
        <v>273888</v>
      </c>
      <c r="O23" s="1015">
        <v>441540</v>
      </c>
      <c r="P23" s="1015">
        <v>338481</v>
      </c>
      <c r="Q23" s="1016">
        <v>389736</v>
      </c>
      <c r="R23" s="1016">
        <v>480717</v>
      </c>
      <c r="S23" s="1017">
        <v>143019</v>
      </c>
      <c r="T23" s="1017">
        <f t="shared" si="1"/>
        <v>4077414</v>
      </c>
      <c r="U23" s="1017">
        <v>13821000</v>
      </c>
      <c r="V23" s="646"/>
      <c r="W23" s="647"/>
      <c r="X23" s="648"/>
      <c r="Y23" s="649"/>
      <c r="Z23" s="650"/>
      <c r="AA23" s="651"/>
      <c r="AB23" s="652"/>
      <c r="AC23" s="653"/>
    </row>
    <row r="24" spans="1:29" ht="15">
      <c r="A24" s="14"/>
      <c r="B24" s="38"/>
      <c r="C24" s="38"/>
      <c r="D24" s="4" t="s">
        <v>14</v>
      </c>
      <c r="E24" s="5"/>
      <c r="F24" s="5"/>
      <c r="G24" s="13" t="s">
        <v>35</v>
      </c>
      <c r="H24" s="1014">
        <v>3705032</v>
      </c>
      <c r="I24" s="1015">
        <v>3764137</v>
      </c>
      <c r="J24" s="1015">
        <v>4061545</v>
      </c>
      <c r="K24" s="1016">
        <f>3797504+262084</f>
        <v>4059588</v>
      </c>
      <c r="L24" s="1016">
        <f>3957999+278698</f>
        <v>4236697</v>
      </c>
      <c r="M24" s="1016">
        <f>3892027+276300</f>
        <v>4168327</v>
      </c>
      <c r="N24" s="1015">
        <f>3768166+294282</f>
        <v>4062448</v>
      </c>
      <c r="O24" s="1015">
        <f>3790214+259794</f>
        <v>4050008</v>
      </c>
      <c r="P24" s="1015">
        <f>278262+3591442</f>
        <v>3869704</v>
      </c>
      <c r="Q24" s="1016">
        <v>3775383</v>
      </c>
      <c r="R24" s="1016">
        <f>3497092+260916</f>
        <v>3758008</v>
      </c>
      <c r="S24" s="1017">
        <f>253416+3664646</f>
        <v>3918062</v>
      </c>
      <c r="T24" s="1017">
        <f t="shared" ref="T24:T32" si="4">SUM(H24:S24)</f>
        <v>47428939</v>
      </c>
      <c r="U24" s="1017">
        <v>46832000</v>
      </c>
      <c r="V24" s="662"/>
      <c r="W24" s="663"/>
      <c r="X24" s="664"/>
      <c r="Y24" s="665"/>
      <c r="Z24" s="666"/>
      <c r="AA24" s="667"/>
      <c r="AB24" s="668"/>
      <c r="AC24" s="669"/>
    </row>
    <row r="25" spans="1:29" ht="15">
      <c r="A25" s="14"/>
      <c r="B25" s="38"/>
      <c r="C25" s="38"/>
      <c r="D25" s="4" t="s">
        <v>33</v>
      </c>
      <c r="E25" s="5"/>
      <c r="F25" s="5"/>
      <c r="G25" s="13" t="s">
        <v>35</v>
      </c>
      <c r="H25" s="1015">
        <v>32400</v>
      </c>
      <c r="I25" s="1015">
        <v>29430</v>
      </c>
      <c r="J25" s="1016">
        <v>186296</v>
      </c>
      <c r="K25" s="1016">
        <v>93096</v>
      </c>
      <c r="L25" s="1016">
        <v>87091</v>
      </c>
      <c r="M25" s="1015">
        <v>22356</v>
      </c>
      <c r="N25" s="1015">
        <v>127843</v>
      </c>
      <c r="O25" s="1015">
        <v>78076</v>
      </c>
      <c r="P25" s="1015">
        <v>130633</v>
      </c>
      <c r="Q25" s="1016">
        <v>124560</v>
      </c>
      <c r="R25" s="1016">
        <v>33089</v>
      </c>
      <c r="S25" s="1017">
        <v>57528</v>
      </c>
      <c r="T25" s="1017">
        <f t="shared" si="4"/>
        <v>1002398</v>
      </c>
      <c r="U25" s="1017">
        <v>563000</v>
      </c>
      <c r="V25" s="670"/>
      <c r="W25" s="671"/>
      <c r="X25" s="672"/>
      <c r="Y25" s="673"/>
      <c r="Z25" s="674"/>
      <c r="AA25" s="675"/>
      <c r="AB25" s="676"/>
      <c r="AC25" s="677"/>
    </row>
    <row r="26" spans="1:29" ht="15">
      <c r="A26" s="14"/>
      <c r="B26" s="38"/>
      <c r="C26" s="38"/>
      <c r="D26" s="4" t="s">
        <v>34</v>
      </c>
      <c r="E26" s="5"/>
      <c r="F26" s="5"/>
      <c r="G26" s="13" t="s">
        <v>35</v>
      </c>
      <c r="H26" s="1015">
        <v>212726</v>
      </c>
      <c r="I26" s="1015">
        <v>180000</v>
      </c>
      <c r="J26" s="1016">
        <v>0</v>
      </c>
      <c r="K26" s="1016">
        <v>33300</v>
      </c>
      <c r="L26" s="1016">
        <v>360000</v>
      </c>
      <c r="M26" s="1015">
        <v>0</v>
      </c>
      <c r="N26" s="1015">
        <v>117193</v>
      </c>
      <c r="O26" s="1015">
        <v>0</v>
      </c>
      <c r="P26" s="1015">
        <v>0</v>
      </c>
      <c r="Q26" s="1016">
        <v>148500</v>
      </c>
      <c r="R26" s="1016">
        <v>0</v>
      </c>
      <c r="S26" s="1017">
        <v>98380</v>
      </c>
      <c r="T26" s="1017">
        <f t="shared" si="4"/>
        <v>1150099</v>
      </c>
      <c r="U26" s="1017">
        <v>3084000</v>
      </c>
      <c r="V26" s="678"/>
      <c r="W26" s="679"/>
      <c r="X26" s="680"/>
      <c r="Y26" s="681"/>
      <c r="Z26" s="682"/>
      <c r="AA26" s="683"/>
      <c r="AB26" s="684"/>
      <c r="AC26" s="685"/>
    </row>
    <row r="27" spans="1:29" ht="15">
      <c r="A27" s="14"/>
      <c r="B27" s="38"/>
      <c r="C27" s="38"/>
      <c r="D27" s="4" t="s">
        <v>3</v>
      </c>
      <c r="E27" s="5"/>
      <c r="F27" s="5"/>
      <c r="G27" s="13" t="s">
        <v>35</v>
      </c>
      <c r="H27" s="1016">
        <v>0</v>
      </c>
      <c r="I27" s="1016">
        <v>0</v>
      </c>
      <c r="J27" s="1016">
        <v>0</v>
      </c>
      <c r="K27" s="1016">
        <v>0</v>
      </c>
      <c r="L27" s="1016">
        <v>0</v>
      </c>
      <c r="M27" s="1016">
        <v>0</v>
      </c>
      <c r="N27" s="1016">
        <v>0</v>
      </c>
      <c r="O27" s="1016">
        <v>0</v>
      </c>
      <c r="P27" s="1016">
        <v>0</v>
      </c>
      <c r="Q27" s="1016">
        <v>0</v>
      </c>
      <c r="R27" s="1016">
        <v>0</v>
      </c>
      <c r="S27" s="1017"/>
      <c r="T27" s="1017">
        <f t="shared" si="4"/>
        <v>0</v>
      </c>
      <c r="U27" s="1017">
        <v>0</v>
      </c>
      <c r="V27" s="686"/>
      <c r="W27" s="687"/>
      <c r="X27" s="688"/>
      <c r="Y27" s="689"/>
      <c r="Z27" s="690"/>
      <c r="AA27" s="691"/>
      <c r="AB27" s="692"/>
      <c r="AC27" s="693"/>
    </row>
    <row r="28" spans="1:29" ht="15">
      <c r="A28" s="14"/>
      <c r="B28" s="38"/>
      <c r="C28" s="38"/>
      <c r="D28" s="4" t="s">
        <v>4</v>
      </c>
      <c r="E28" s="5"/>
      <c r="F28" s="5"/>
      <c r="G28" s="13" t="s">
        <v>35</v>
      </c>
      <c r="H28" s="1016">
        <v>0</v>
      </c>
      <c r="I28" s="1016">
        <v>0</v>
      </c>
      <c r="J28" s="1016">
        <v>0</v>
      </c>
      <c r="K28" s="1016">
        <v>0</v>
      </c>
      <c r="L28" s="1016">
        <v>0</v>
      </c>
      <c r="M28" s="1016">
        <v>0</v>
      </c>
      <c r="N28" s="1016">
        <v>0</v>
      </c>
      <c r="O28" s="1016">
        <v>0</v>
      </c>
      <c r="P28" s="1016">
        <v>0</v>
      </c>
      <c r="Q28" s="1016">
        <v>0</v>
      </c>
      <c r="R28" s="1016">
        <v>0</v>
      </c>
      <c r="S28" s="1017"/>
      <c r="T28" s="1017">
        <f t="shared" si="4"/>
        <v>0</v>
      </c>
      <c r="U28" s="1017">
        <v>0</v>
      </c>
      <c r="V28" s="694"/>
      <c r="W28" s="695"/>
      <c r="X28" s="696"/>
      <c r="Y28" s="697"/>
      <c r="Z28" s="698"/>
      <c r="AA28" s="699"/>
      <c r="AB28" s="700"/>
      <c r="AC28" s="701"/>
    </row>
    <row r="29" spans="1:29" ht="15">
      <c r="A29" s="14"/>
      <c r="B29" s="38"/>
      <c r="C29" s="38"/>
      <c r="D29" s="4" t="s">
        <v>8</v>
      </c>
      <c r="E29" s="5"/>
      <c r="F29" s="5"/>
      <c r="G29" s="13" t="s">
        <v>35</v>
      </c>
      <c r="H29" s="1014">
        <v>1693733</v>
      </c>
      <c r="I29" s="1015">
        <v>1505894</v>
      </c>
      <c r="J29" s="1015">
        <v>1685124</v>
      </c>
      <c r="K29" s="1016">
        <v>1633461</v>
      </c>
      <c r="L29" s="1016">
        <v>1490960</v>
      </c>
      <c r="M29" s="1016">
        <v>1703724</v>
      </c>
      <c r="N29" s="1015">
        <v>1743419</v>
      </c>
      <c r="O29" s="1015">
        <v>784746</v>
      </c>
      <c r="P29" s="1015">
        <v>2108880</v>
      </c>
      <c r="Q29" s="1016">
        <v>3465642</v>
      </c>
      <c r="R29" s="1016">
        <v>2068291</v>
      </c>
      <c r="S29" s="1017">
        <v>2084562</v>
      </c>
      <c r="T29" s="1017">
        <f t="shared" si="4"/>
        <v>21968436</v>
      </c>
      <c r="U29" s="1017">
        <v>39811000</v>
      </c>
      <c r="V29" s="702"/>
      <c r="W29" s="703"/>
      <c r="X29" s="704"/>
      <c r="Y29" s="705"/>
      <c r="Z29" s="706"/>
      <c r="AA29" s="707"/>
      <c r="AB29" s="708"/>
      <c r="AC29" s="709"/>
    </row>
    <row r="30" spans="1:29" ht="15">
      <c r="A30" s="14"/>
      <c r="B30" s="38"/>
      <c r="C30" s="38"/>
      <c r="D30" s="4" t="s">
        <v>9</v>
      </c>
      <c r="E30" s="5"/>
      <c r="F30" s="5"/>
      <c r="G30" s="13" t="s">
        <v>35</v>
      </c>
      <c r="H30" s="1016">
        <v>0</v>
      </c>
      <c r="I30" s="1016">
        <v>0</v>
      </c>
      <c r="J30" s="1016">
        <v>0</v>
      </c>
      <c r="K30" s="1016">
        <v>0</v>
      </c>
      <c r="L30" s="1016">
        <v>0</v>
      </c>
      <c r="M30" s="1016">
        <v>0</v>
      </c>
      <c r="N30" s="1016">
        <v>0</v>
      </c>
      <c r="O30" s="1016">
        <v>0</v>
      </c>
      <c r="P30" s="1016">
        <v>0</v>
      </c>
      <c r="Q30" s="1016">
        <v>0</v>
      </c>
      <c r="R30" s="1016">
        <v>0</v>
      </c>
      <c r="S30" s="1017"/>
      <c r="T30" s="1017">
        <f t="shared" si="4"/>
        <v>0</v>
      </c>
      <c r="U30" s="1017">
        <v>0</v>
      </c>
      <c r="V30" s="710"/>
      <c r="W30" s="711"/>
      <c r="X30" s="712"/>
      <c r="Y30" s="713"/>
      <c r="Z30" s="714"/>
      <c r="AA30" s="715"/>
      <c r="AB30" s="716"/>
      <c r="AC30" s="717"/>
    </row>
    <row r="31" spans="1:29" ht="15">
      <c r="A31" s="14"/>
      <c r="B31" s="38"/>
      <c r="C31" s="38"/>
      <c r="D31" s="4" t="s">
        <v>10</v>
      </c>
      <c r="E31" s="5"/>
      <c r="F31" s="5"/>
      <c r="G31" s="13" t="s">
        <v>35</v>
      </c>
      <c r="H31" s="1016">
        <v>0</v>
      </c>
      <c r="I31" s="1016">
        <v>0</v>
      </c>
      <c r="J31" s="1016">
        <v>0</v>
      </c>
      <c r="K31" s="1016">
        <v>0</v>
      </c>
      <c r="L31" s="1016">
        <v>0</v>
      </c>
      <c r="M31" s="1016">
        <v>0</v>
      </c>
      <c r="N31" s="1016">
        <v>0</v>
      </c>
      <c r="O31" s="1016">
        <v>0</v>
      </c>
      <c r="P31" s="1016">
        <v>0</v>
      </c>
      <c r="Q31" s="1016">
        <v>0</v>
      </c>
      <c r="R31" s="1016">
        <v>0</v>
      </c>
      <c r="S31" s="1017"/>
      <c r="T31" s="1017">
        <f t="shared" si="4"/>
        <v>0</v>
      </c>
      <c r="U31" s="1017">
        <v>0</v>
      </c>
      <c r="V31" s="718"/>
      <c r="W31" s="719"/>
      <c r="X31" s="720"/>
      <c r="Y31" s="721"/>
      <c r="Z31" s="722"/>
      <c r="AA31" s="723"/>
      <c r="AB31" s="724"/>
      <c r="AC31" s="725"/>
    </row>
    <row r="32" spans="1:29" ht="15.75" thickBot="1">
      <c r="A32" s="40"/>
      <c r="B32" s="41"/>
      <c r="C32" s="41"/>
      <c r="D32" s="34" t="s">
        <v>15</v>
      </c>
      <c r="E32" s="43"/>
      <c r="F32" s="43"/>
      <c r="G32" s="44" t="s">
        <v>35</v>
      </c>
      <c r="H32" s="1084">
        <v>9525198</v>
      </c>
      <c r="I32" s="1085">
        <v>9638848</v>
      </c>
      <c r="J32" s="1085">
        <v>9718645</v>
      </c>
      <c r="K32" s="1086">
        <f>9362324+329201</f>
        <v>9691525</v>
      </c>
      <c r="L32" s="1086">
        <f>9562524+324501</f>
        <v>9887025</v>
      </c>
      <c r="M32" s="1086">
        <f>9276004+340401</f>
        <v>9616405</v>
      </c>
      <c r="N32" s="1085">
        <f>9217374+338701</f>
        <v>9556075</v>
      </c>
      <c r="O32" s="1085">
        <f>9409152+337401</f>
        <v>9746553</v>
      </c>
      <c r="P32" s="1085">
        <f>336101+9284222</f>
        <v>9620323</v>
      </c>
      <c r="Q32" s="1086">
        <v>9437873</v>
      </c>
      <c r="R32" s="1086">
        <f>9233152+330101</f>
        <v>9563253</v>
      </c>
      <c r="S32" s="1087">
        <f>321501+9110722</f>
        <v>9432223</v>
      </c>
      <c r="T32" s="1087">
        <f t="shared" si="4"/>
        <v>115433946</v>
      </c>
      <c r="U32" s="1087">
        <v>121183000</v>
      </c>
      <c r="V32" s="726"/>
      <c r="W32" s="727"/>
      <c r="X32" s="728"/>
      <c r="Y32" s="729"/>
      <c r="Z32" s="730"/>
      <c r="AA32" s="731"/>
      <c r="AB32" s="732"/>
      <c r="AC32" s="733"/>
    </row>
    <row r="33" spans="1:29" ht="15.75" thickBot="1">
      <c r="A33" s="1138"/>
      <c r="B33" s="1139"/>
      <c r="C33" s="1139"/>
      <c r="D33" s="1139"/>
      <c r="E33" s="1139"/>
      <c r="F33" s="1139"/>
      <c r="G33" s="1139" t="s">
        <v>92</v>
      </c>
      <c r="H33" s="1141">
        <f>H4+H9+H13</f>
        <v>159223031</v>
      </c>
      <c r="I33" s="1141">
        <f t="shared" ref="I33:U33" si="5">I4+I9+I13</f>
        <v>155778783</v>
      </c>
      <c r="J33" s="1141">
        <f t="shared" si="5"/>
        <v>160861396</v>
      </c>
      <c r="K33" s="1141">
        <f t="shared" si="5"/>
        <v>159297666</v>
      </c>
      <c r="L33" s="1141">
        <f t="shared" si="5"/>
        <v>163399263</v>
      </c>
      <c r="M33" s="1141">
        <f t="shared" si="5"/>
        <v>161697796</v>
      </c>
      <c r="N33" s="1141">
        <f t="shared" si="5"/>
        <v>158126152</v>
      </c>
      <c r="O33" s="1141">
        <f t="shared" si="5"/>
        <v>158374795</v>
      </c>
      <c r="P33" s="1141">
        <f t="shared" si="5"/>
        <v>159158633</v>
      </c>
      <c r="Q33" s="1141">
        <f t="shared" si="5"/>
        <v>160288932</v>
      </c>
      <c r="R33" s="1141">
        <f t="shared" si="5"/>
        <v>156188482</v>
      </c>
      <c r="S33" s="1141">
        <f t="shared" si="5"/>
        <v>145421826</v>
      </c>
      <c r="T33" s="1141">
        <f t="shared" si="5"/>
        <v>1897816755</v>
      </c>
      <c r="U33" s="1141">
        <f t="shared" si="5"/>
        <v>1974353000</v>
      </c>
      <c r="V33" s="1330"/>
      <c r="W33" s="1330"/>
      <c r="X33" s="1330"/>
      <c r="Y33" s="1330"/>
      <c r="Z33" s="1330"/>
      <c r="AA33" s="1330"/>
      <c r="AB33" s="1330"/>
      <c r="AC33" s="1330"/>
    </row>
    <row r="34" spans="1:29" ht="16.5" customHeight="1">
      <c r="A34" s="10"/>
      <c r="B34" s="11"/>
      <c r="C34" s="11"/>
      <c r="D34" s="11"/>
      <c r="E34" s="11"/>
      <c r="F34" s="11"/>
      <c r="G34" s="11"/>
      <c r="H34" s="1292" t="s">
        <v>70</v>
      </c>
      <c r="I34" s="1293"/>
      <c r="S34" s="1142" t="s">
        <v>94</v>
      </c>
      <c r="T34" s="1143">
        <f>T33/U33*100</f>
        <v>96.123477159352973</v>
      </c>
      <c r="U34" s="1" t="s">
        <v>93</v>
      </c>
      <c r="V34" s="143"/>
      <c r="W34" s="143"/>
      <c r="X34" s="143"/>
      <c r="Y34" s="143"/>
      <c r="Z34" s="143"/>
      <c r="AA34" s="143"/>
      <c r="AB34" s="143"/>
      <c r="AC34" s="143"/>
    </row>
    <row r="35" spans="1:29" ht="17.25" customHeight="1" thickBot="1">
      <c r="A35" s="19"/>
      <c r="B35" s="20"/>
      <c r="C35" s="20"/>
      <c r="D35" s="20"/>
      <c r="E35" s="20"/>
      <c r="F35" s="20"/>
      <c r="G35" s="20"/>
      <c r="H35" s="1314" t="s">
        <v>71</v>
      </c>
      <c r="I35" s="1315"/>
      <c r="J35" s="1005"/>
      <c r="K35" s="1005"/>
      <c r="L35" s="1005"/>
      <c r="M35" s="1005"/>
      <c r="N35" s="143"/>
      <c r="O35" s="143"/>
      <c r="P35" s="143"/>
      <c r="Q35" s="143"/>
      <c r="R35" s="143"/>
      <c r="S35" s="143"/>
      <c r="T35" s="143"/>
      <c r="U35" s="143"/>
      <c r="V35" s="92"/>
      <c r="W35" s="94"/>
      <c r="X35" s="94"/>
      <c r="Y35" s="94"/>
      <c r="Z35" s="92"/>
      <c r="AA35" s="94"/>
      <c r="AB35" s="94"/>
      <c r="AC35" s="94"/>
    </row>
    <row r="36" spans="1:29" ht="18" customHeight="1" thickTop="1">
      <c r="A36" s="39" t="s">
        <v>20</v>
      </c>
      <c r="B36" s="36"/>
      <c r="C36" s="36"/>
      <c r="D36" s="53" t="s">
        <v>16</v>
      </c>
      <c r="E36" s="54"/>
      <c r="F36" s="54"/>
      <c r="G36" s="55" t="s">
        <v>41</v>
      </c>
      <c r="H36" s="1328">
        <f t="shared" ref="H36:H42" si="6">T4/U4*100</f>
        <v>104.13191846890652</v>
      </c>
      <c r="I36" s="1329"/>
      <c r="J36" s="93"/>
      <c r="K36" s="93"/>
      <c r="L36" s="93"/>
      <c r="M36" s="93"/>
      <c r="N36" s="93"/>
      <c r="O36" s="143"/>
      <c r="P36" s="143"/>
      <c r="Q36" s="143"/>
      <c r="R36" s="143"/>
      <c r="S36" s="143"/>
      <c r="T36" s="143"/>
      <c r="U36" s="143"/>
      <c r="V36" s="741"/>
      <c r="W36" s="495"/>
      <c r="X36" s="496"/>
      <c r="Y36" s="497"/>
      <c r="Z36" s="498"/>
      <c r="AA36" s="499"/>
      <c r="AB36" s="500"/>
      <c r="AC36" s="501"/>
    </row>
    <row r="37" spans="1:29" ht="15">
      <c r="A37" s="14"/>
      <c r="B37" s="38"/>
      <c r="C37" s="38"/>
      <c r="D37" s="4" t="s">
        <v>21</v>
      </c>
      <c r="E37" s="47"/>
      <c r="F37" s="47"/>
      <c r="G37" s="48" t="s">
        <v>35</v>
      </c>
      <c r="H37" s="1308">
        <f t="shared" si="6"/>
        <v>98.102268626838466</v>
      </c>
      <c r="I37" s="1309"/>
      <c r="J37" s="152"/>
      <c r="K37" s="153"/>
      <c r="L37" s="154"/>
      <c r="M37" s="155"/>
      <c r="N37" s="145"/>
      <c r="O37" s="146"/>
      <c r="P37" s="147"/>
      <c r="Q37" s="149"/>
      <c r="R37" s="150"/>
      <c r="S37" s="151"/>
      <c r="T37" s="151"/>
      <c r="U37" s="151"/>
      <c r="V37" s="749"/>
      <c r="W37" s="503"/>
      <c r="X37" s="504"/>
      <c r="Y37" s="505"/>
      <c r="Z37" s="506"/>
      <c r="AA37" s="507"/>
      <c r="AB37" s="508"/>
      <c r="AC37" s="509"/>
    </row>
    <row r="38" spans="1:29" ht="15">
      <c r="A38" s="14"/>
      <c r="B38" s="38"/>
      <c r="C38" s="38"/>
      <c r="D38" s="4" t="s">
        <v>32</v>
      </c>
      <c r="E38" s="5"/>
      <c r="F38" s="5"/>
      <c r="G38" s="13" t="s">
        <v>35</v>
      </c>
      <c r="H38" s="1308">
        <f t="shared" si="6"/>
        <v>102.91238873808473</v>
      </c>
      <c r="I38" s="1309"/>
      <c r="J38" s="164"/>
      <c r="K38" s="165"/>
      <c r="L38" s="166"/>
      <c r="M38" s="167"/>
      <c r="N38" s="157"/>
      <c r="O38" s="158"/>
      <c r="P38" s="159"/>
      <c r="Q38" s="161"/>
      <c r="R38" s="162"/>
      <c r="S38" s="163"/>
      <c r="T38" s="163"/>
      <c r="U38" s="163"/>
      <c r="V38" s="757"/>
      <c r="W38" s="511"/>
      <c r="X38" s="512"/>
      <c r="Y38" s="513"/>
      <c r="Z38" s="514"/>
      <c r="AA38" s="515"/>
      <c r="AB38" s="516"/>
      <c r="AC38" s="517"/>
    </row>
    <row r="39" spans="1:29" ht="15">
      <c r="A39" s="14"/>
      <c r="B39" s="38"/>
      <c r="C39" s="38"/>
      <c r="D39" s="4" t="s">
        <v>22</v>
      </c>
      <c r="E39" s="5"/>
      <c r="F39" s="5"/>
      <c r="G39" s="13" t="s">
        <v>35</v>
      </c>
      <c r="H39" s="1308">
        <f t="shared" si="6"/>
        <v>121.56165122265121</v>
      </c>
      <c r="I39" s="1309"/>
      <c r="J39" s="176"/>
      <c r="K39" s="177"/>
      <c r="L39" s="178"/>
      <c r="M39" s="179"/>
      <c r="N39" s="169"/>
      <c r="O39" s="170"/>
      <c r="P39" s="171"/>
      <c r="Q39" s="173"/>
      <c r="R39" s="174"/>
      <c r="S39" s="175"/>
      <c r="T39" s="175"/>
      <c r="U39" s="175"/>
      <c r="V39" s="765"/>
      <c r="W39" s="519"/>
      <c r="X39" s="520"/>
      <c r="Y39" s="521"/>
      <c r="Z39" s="522"/>
      <c r="AA39" s="523"/>
      <c r="AB39" s="524"/>
      <c r="AC39" s="525"/>
    </row>
    <row r="40" spans="1:29" ht="15">
      <c r="A40" s="14"/>
      <c r="B40" s="38"/>
      <c r="C40" s="38"/>
      <c r="D40" s="49" t="s">
        <v>23</v>
      </c>
      <c r="E40" s="36"/>
      <c r="F40" s="36"/>
      <c r="G40" s="50" t="s">
        <v>35</v>
      </c>
      <c r="H40" s="1308">
        <f t="shared" si="6"/>
        <v>92.735053072353693</v>
      </c>
      <c r="I40" s="1309"/>
      <c r="J40" s="188"/>
      <c r="K40" s="189"/>
      <c r="L40" s="190"/>
      <c r="M40" s="191"/>
      <c r="N40" s="181"/>
      <c r="O40" s="182"/>
      <c r="P40" s="183"/>
      <c r="Q40" s="185"/>
      <c r="R40" s="186"/>
      <c r="S40" s="187"/>
      <c r="T40" s="187"/>
      <c r="U40" s="187"/>
      <c r="V40" s="773"/>
      <c r="W40" s="527"/>
      <c r="X40" s="528"/>
      <c r="Y40" s="529"/>
      <c r="Z40" s="530"/>
      <c r="AA40" s="531"/>
      <c r="AB40" s="532"/>
      <c r="AC40" s="533"/>
    </row>
    <row r="41" spans="1:29" ht="15">
      <c r="A41" s="39" t="s">
        <v>2</v>
      </c>
      <c r="B41" s="36"/>
      <c r="C41" s="36"/>
      <c r="D41" s="53" t="s">
        <v>16</v>
      </c>
      <c r="E41" s="54"/>
      <c r="F41" s="54"/>
      <c r="G41" s="56" t="s">
        <v>35</v>
      </c>
      <c r="H41" s="1325">
        <f t="shared" si="6"/>
        <v>99.187731875300656</v>
      </c>
      <c r="I41" s="1326"/>
      <c r="J41" s="200"/>
      <c r="K41" s="201"/>
      <c r="L41" s="202"/>
      <c r="M41" s="203"/>
      <c r="N41" s="193"/>
      <c r="O41" s="194"/>
      <c r="P41" s="195"/>
      <c r="Q41" s="197"/>
      <c r="R41" s="198"/>
      <c r="S41" s="199"/>
      <c r="T41" s="199"/>
      <c r="U41" s="199"/>
      <c r="V41" s="781"/>
      <c r="W41" s="535"/>
      <c r="X41" s="536"/>
      <c r="Y41" s="537"/>
      <c r="Z41" s="538"/>
      <c r="AA41" s="539"/>
      <c r="AB41" s="540"/>
      <c r="AC41" s="541"/>
    </row>
    <row r="42" spans="1:29" ht="15">
      <c r="A42" s="14"/>
      <c r="B42" s="38"/>
      <c r="C42" s="38"/>
      <c r="D42" s="4" t="s">
        <v>17</v>
      </c>
      <c r="E42" s="5"/>
      <c r="F42" s="5"/>
      <c r="G42" s="13" t="s">
        <v>35</v>
      </c>
      <c r="H42" s="1308">
        <f t="shared" si="6"/>
        <v>93.90332749562171</v>
      </c>
      <c r="I42" s="1309"/>
      <c r="J42" s="212"/>
      <c r="K42" s="213"/>
      <c r="L42" s="214"/>
      <c r="M42" s="215"/>
      <c r="N42" s="205"/>
      <c r="O42" s="206"/>
      <c r="P42" s="207"/>
      <c r="Q42" s="209"/>
      <c r="R42" s="210"/>
      <c r="S42" s="211"/>
      <c r="T42" s="211"/>
      <c r="U42" s="211"/>
      <c r="V42" s="789"/>
      <c r="W42" s="543"/>
      <c r="X42" s="544"/>
      <c r="Y42" s="545"/>
      <c r="Z42" s="546"/>
      <c r="AA42" s="547"/>
      <c r="AB42" s="548"/>
      <c r="AC42" s="549"/>
    </row>
    <row r="43" spans="1:29" ht="15">
      <c r="A43" s="14"/>
      <c r="B43" s="38"/>
      <c r="C43" s="38"/>
      <c r="D43" s="4" t="s">
        <v>19</v>
      </c>
      <c r="E43" s="5"/>
      <c r="F43" s="5"/>
      <c r="G43" s="13" t="s">
        <v>35</v>
      </c>
      <c r="H43" s="1327" t="s">
        <v>77</v>
      </c>
      <c r="I43" s="1309"/>
      <c r="J43" s="224"/>
      <c r="K43" s="225"/>
      <c r="L43" s="226"/>
      <c r="M43" s="227"/>
      <c r="N43" s="217"/>
      <c r="O43" s="218"/>
      <c r="P43" s="219"/>
      <c r="Q43" s="221"/>
      <c r="R43" s="222"/>
      <c r="S43" s="223"/>
      <c r="T43" s="223"/>
      <c r="U43" s="223"/>
      <c r="V43" s="797"/>
      <c r="W43" s="551"/>
      <c r="X43" s="552"/>
      <c r="Y43" s="553"/>
      <c r="Z43" s="554"/>
      <c r="AA43" s="555"/>
      <c r="AB43" s="556"/>
      <c r="AC43" s="557"/>
    </row>
    <row r="44" spans="1:29" ht="15">
      <c r="A44" s="15"/>
      <c r="B44" s="37"/>
      <c r="C44" s="37"/>
      <c r="D44" s="4" t="s">
        <v>18</v>
      </c>
      <c r="E44" s="5"/>
      <c r="F44" s="5"/>
      <c r="G44" s="13" t="s">
        <v>35</v>
      </c>
      <c r="H44" s="1308">
        <f t="shared" ref="H44:H58" si="7">T12/U12*100</f>
        <v>99.351999467695791</v>
      </c>
      <c r="I44" s="1309"/>
      <c r="J44" s="236"/>
      <c r="K44" s="237"/>
      <c r="L44" s="238"/>
      <c r="M44" s="239"/>
      <c r="N44" s="229"/>
      <c r="O44" s="230"/>
      <c r="P44" s="231"/>
      <c r="Q44" s="233"/>
      <c r="R44" s="234"/>
      <c r="S44" s="235"/>
      <c r="T44" s="235"/>
      <c r="U44" s="235"/>
      <c r="V44" s="805"/>
      <c r="W44" s="559"/>
      <c r="X44" s="560"/>
      <c r="Y44" s="561"/>
      <c r="Z44" s="562"/>
      <c r="AA44" s="563"/>
      <c r="AB44" s="564"/>
      <c r="AC44" s="565"/>
    </row>
    <row r="45" spans="1:29" ht="15">
      <c r="A45" s="39" t="s">
        <v>1</v>
      </c>
      <c r="B45" s="36"/>
      <c r="C45" s="36"/>
      <c r="D45" s="53" t="s">
        <v>16</v>
      </c>
      <c r="E45" s="54"/>
      <c r="F45" s="54"/>
      <c r="G45" s="56" t="s">
        <v>35</v>
      </c>
      <c r="H45" s="1316">
        <f t="shared" si="7"/>
        <v>90.441155116779342</v>
      </c>
      <c r="I45" s="1317"/>
      <c r="J45" s="248"/>
      <c r="K45" s="249"/>
      <c r="L45" s="250"/>
      <c r="M45" s="251"/>
      <c r="N45" s="241"/>
      <c r="O45" s="242"/>
      <c r="P45" s="243"/>
      <c r="Q45" s="245"/>
      <c r="R45" s="246"/>
      <c r="S45" s="247"/>
      <c r="T45" s="247"/>
      <c r="U45" s="247"/>
      <c r="V45" s="813"/>
      <c r="W45" s="567"/>
      <c r="X45" s="568"/>
      <c r="Y45" s="569"/>
      <c r="Z45" s="570"/>
      <c r="AA45" s="571"/>
      <c r="AB45" s="572"/>
      <c r="AC45" s="573"/>
    </row>
    <row r="46" spans="1:29" ht="15">
      <c r="A46" s="14"/>
      <c r="B46" s="38"/>
      <c r="C46" s="38"/>
      <c r="D46" s="4" t="s">
        <v>25</v>
      </c>
      <c r="E46" s="5"/>
      <c r="F46" s="5"/>
      <c r="G46" s="13" t="s">
        <v>35</v>
      </c>
      <c r="H46" s="1308">
        <f t="shared" si="7"/>
        <v>101.24757397607583</v>
      </c>
      <c r="I46" s="1309"/>
      <c r="J46" s="260"/>
      <c r="K46" s="261"/>
      <c r="L46" s="262"/>
      <c r="M46" s="263"/>
      <c r="N46" s="253"/>
      <c r="O46" s="254"/>
      <c r="P46" s="255"/>
      <c r="Q46" s="257"/>
      <c r="R46" s="258"/>
      <c r="S46" s="259"/>
      <c r="T46" s="259"/>
      <c r="U46" s="259"/>
      <c r="V46" s="821"/>
      <c r="W46" s="575"/>
      <c r="X46" s="576"/>
      <c r="Y46" s="577"/>
      <c r="Z46" s="578"/>
      <c r="AA46" s="579"/>
      <c r="AB46" s="580"/>
      <c r="AC46" s="581"/>
    </row>
    <row r="47" spans="1:29" ht="15">
      <c r="A47" s="14"/>
      <c r="B47" s="38"/>
      <c r="C47" s="38"/>
      <c r="D47" s="4" t="s">
        <v>26</v>
      </c>
      <c r="E47" s="5"/>
      <c r="F47" s="5"/>
      <c r="G47" s="13" t="s">
        <v>35</v>
      </c>
      <c r="H47" s="1308">
        <f t="shared" si="7"/>
        <v>61.223244409572388</v>
      </c>
      <c r="I47" s="1309"/>
      <c r="J47" s="272"/>
      <c r="K47" s="273"/>
      <c r="L47" s="274"/>
      <c r="M47" s="275"/>
      <c r="N47" s="265"/>
      <c r="O47" s="266"/>
      <c r="P47" s="267"/>
      <c r="Q47" s="269"/>
      <c r="R47" s="270"/>
      <c r="S47" s="271"/>
      <c r="T47" s="271"/>
      <c r="U47" s="271"/>
      <c r="V47" s="829"/>
      <c r="W47" s="583"/>
      <c r="X47" s="584"/>
      <c r="Y47" s="585"/>
      <c r="Z47" s="586"/>
      <c r="AA47" s="587"/>
      <c r="AB47" s="588"/>
      <c r="AC47" s="589"/>
    </row>
    <row r="48" spans="1:29" ht="15">
      <c r="A48" s="14"/>
      <c r="B48" s="38"/>
      <c r="C48" s="38"/>
      <c r="D48" s="4" t="s">
        <v>27</v>
      </c>
      <c r="E48" s="5"/>
      <c r="F48" s="5"/>
      <c r="G48" s="13" t="s">
        <v>35</v>
      </c>
      <c r="H48" s="1308">
        <f t="shared" si="7"/>
        <v>74.935746479400052</v>
      </c>
      <c r="I48" s="1309"/>
      <c r="J48" s="284"/>
      <c r="K48" s="285"/>
      <c r="L48" s="286"/>
      <c r="M48" s="287"/>
      <c r="N48" s="277"/>
      <c r="O48" s="278"/>
      <c r="P48" s="279"/>
      <c r="Q48" s="281"/>
      <c r="R48" s="282"/>
      <c r="S48" s="283"/>
      <c r="T48" s="283"/>
      <c r="U48" s="283"/>
      <c r="V48" s="837"/>
      <c r="W48" s="591"/>
      <c r="X48" s="592"/>
      <c r="Y48" s="593"/>
      <c r="Z48" s="594"/>
      <c r="AA48" s="595"/>
      <c r="AB48" s="596"/>
      <c r="AC48" s="597"/>
    </row>
    <row r="49" spans="1:29" ht="15">
      <c r="A49" s="14"/>
      <c r="B49" s="38"/>
      <c r="C49" s="38"/>
      <c r="D49" s="4" t="s">
        <v>28</v>
      </c>
      <c r="E49" s="5"/>
      <c r="F49" s="5"/>
      <c r="G49" s="13" t="s">
        <v>35</v>
      </c>
      <c r="H49" s="1308">
        <f t="shared" si="7"/>
        <v>451.67893617021281</v>
      </c>
      <c r="I49" s="1309"/>
      <c r="J49" s="296"/>
      <c r="K49" s="297"/>
      <c r="L49" s="298"/>
      <c r="M49" s="299"/>
      <c r="N49" s="289"/>
      <c r="O49" s="290"/>
      <c r="P49" s="291"/>
      <c r="Q49" s="293"/>
      <c r="R49" s="294"/>
      <c r="S49" s="295"/>
      <c r="T49" s="295"/>
      <c r="U49" s="295"/>
      <c r="V49" s="845"/>
      <c r="W49" s="599"/>
      <c r="X49" s="600"/>
      <c r="Y49" s="601"/>
      <c r="Z49" s="602"/>
      <c r="AA49" s="603"/>
      <c r="AB49" s="604"/>
      <c r="AC49" s="605"/>
    </row>
    <row r="50" spans="1:29" ht="15">
      <c r="A50" s="14"/>
      <c r="B50" s="38"/>
      <c r="C50" s="38"/>
      <c r="D50" s="4" t="s">
        <v>29</v>
      </c>
      <c r="E50" s="5"/>
      <c r="F50" s="5"/>
      <c r="G50" s="13" t="s">
        <v>35</v>
      </c>
      <c r="H50" s="1308">
        <f t="shared" si="7"/>
        <v>103.53143170597916</v>
      </c>
      <c r="I50" s="1309"/>
      <c r="J50" s="308"/>
      <c r="K50" s="309"/>
      <c r="L50" s="310"/>
      <c r="M50" s="311"/>
      <c r="N50" s="301"/>
      <c r="O50" s="302"/>
      <c r="P50" s="303"/>
      <c r="Q50" s="305"/>
      <c r="R50" s="306"/>
      <c r="S50" s="307"/>
      <c r="T50" s="307"/>
      <c r="U50" s="307"/>
      <c r="V50" s="853"/>
      <c r="W50" s="607"/>
      <c r="X50" s="608"/>
      <c r="Y50" s="609"/>
      <c r="Z50" s="610"/>
      <c r="AA50" s="611"/>
      <c r="AB50" s="612"/>
      <c r="AC50" s="613"/>
    </row>
    <row r="51" spans="1:29" ht="15">
      <c r="A51" s="14"/>
      <c r="B51" s="38"/>
      <c r="C51" s="38"/>
      <c r="D51" s="4" t="s">
        <v>5</v>
      </c>
      <c r="E51" s="5"/>
      <c r="F51" s="5"/>
      <c r="G51" s="13" t="s">
        <v>35</v>
      </c>
      <c r="H51" s="1308">
        <f t="shared" si="7"/>
        <v>96.549334838556149</v>
      </c>
      <c r="I51" s="1309"/>
      <c r="J51" s="320"/>
      <c r="K51" s="321"/>
      <c r="L51" s="322"/>
      <c r="M51" s="323"/>
      <c r="N51" s="313"/>
      <c r="O51" s="314"/>
      <c r="P51" s="315"/>
      <c r="Q51" s="317"/>
      <c r="R51" s="318"/>
      <c r="S51" s="319"/>
      <c r="T51" s="319"/>
      <c r="U51" s="319"/>
      <c r="V51" s="861"/>
      <c r="W51" s="615"/>
      <c r="X51" s="616"/>
      <c r="Y51" s="617"/>
      <c r="Z51" s="618"/>
      <c r="AA51" s="619"/>
      <c r="AB51" s="620"/>
      <c r="AC51" s="621"/>
    </row>
    <row r="52" spans="1:29" ht="15">
      <c r="A52" s="14"/>
      <c r="B52" s="38"/>
      <c r="C52" s="38"/>
      <c r="D52" s="4" t="s">
        <v>6</v>
      </c>
      <c r="E52" s="5"/>
      <c r="F52" s="5"/>
      <c r="G52" s="13" t="s">
        <v>35</v>
      </c>
      <c r="H52" s="1308">
        <f t="shared" si="7"/>
        <v>41.767155775464936</v>
      </c>
      <c r="I52" s="1309"/>
      <c r="J52" s="332"/>
      <c r="K52" s="333"/>
      <c r="L52" s="334"/>
      <c r="M52" s="335"/>
      <c r="N52" s="325"/>
      <c r="O52" s="326"/>
      <c r="P52" s="327"/>
      <c r="Q52" s="329"/>
      <c r="R52" s="330"/>
      <c r="S52" s="331"/>
      <c r="T52" s="331"/>
      <c r="U52" s="331"/>
      <c r="V52" s="869"/>
      <c r="W52" s="623"/>
      <c r="X52" s="624"/>
      <c r="Y52" s="625"/>
      <c r="Z52" s="626"/>
      <c r="AA52" s="627"/>
      <c r="AB52" s="628"/>
      <c r="AC52" s="629"/>
    </row>
    <row r="53" spans="1:29" ht="15">
      <c r="A53" s="14"/>
      <c r="B53" s="38"/>
      <c r="C53" s="38"/>
      <c r="D53" s="4" t="s">
        <v>7</v>
      </c>
      <c r="E53" s="5"/>
      <c r="F53" s="5"/>
      <c r="G53" s="13" t="s">
        <v>35</v>
      </c>
      <c r="H53" s="1308">
        <f t="shared" si="7"/>
        <v>100.15846152003067</v>
      </c>
      <c r="I53" s="1309"/>
      <c r="J53" s="344"/>
      <c r="K53" s="345"/>
      <c r="L53" s="346"/>
      <c r="M53" s="347"/>
      <c r="N53" s="337"/>
      <c r="O53" s="338"/>
      <c r="P53" s="339"/>
      <c r="Q53" s="341"/>
      <c r="R53" s="342"/>
      <c r="S53" s="343"/>
      <c r="T53" s="343"/>
      <c r="U53" s="343"/>
      <c r="V53" s="877"/>
      <c r="W53" s="631"/>
      <c r="X53" s="632"/>
      <c r="Y53" s="633"/>
      <c r="Z53" s="634"/>
      <c r="AA53" s="635"/>
      <c r="AB53" s="636"/>
      <c r="AC53" s="637"/>
    </row>
    <row r="54" spans="1:29" ht="15">
      <c r="A54" s="14"/>
      <c r="B54" s="38"/>
      <c r="C54" s="38"/>
      <c r="D54" s="4" t="s">
        <v>11</v>
      </c>
      <c r="E54" s="5"/>
      <c r="F54" s="5"/>
      <c r="G54" s="13" t="s">
        <v>35</v>
      </c>
      <c r="H54" s="1308">
        <f t="shared" si="7"/>
        <v>68.350707142625978</v>
      </c>
      <c r="I54" s="1309"/>
      <c r="J54" s="356"/>
      <c r="K54" s="357"/>
      <c r="L54" s="358"/>
      <c r="M54" s="359"/>
      <c r="N54" s="349"/>
      <c r="O54" s="350"/>
      <c r="P54" s="351"/>
      <c r="Q54" s="353"/>
      <c r="R54" s="354"/>
      <c r="S54" s="355"/>
      <c r="T54" s="355"/>
      <c r="U54" s="355"/>
      <c r="V54" s="885"/>
      <c r="W54" s="639"/>
      <c r="X54" s="640"/>
      <c r="Y54" s="641"/>
      <c r="Z54" s="642"/>
      <c r="AA54" s="643"/>
      <c r="AB54" s="644"/>
      <c r="AC54" s="645"/>
    </row>
    <row r="55" spans="1:29" ht="15">
      <c r="A55" s="14"/>
      <c r="B55" s="38"/>
      <c r="C55" s="38"/>
      <c r="D55" s="4" t="s">
        <v>128</v>
      </c>
      <c r="E55" s="5"/>
      <c r="F55" s="5"/>
      <c r="G55" s="13" t="s">
        <v>35</v>
      </c>
      <c r="H55" s="1308">
        <f t="shared" si="7"/>
        <v>29.501584545257213</v>
      </c>
      <c r="I55" s="1309"/>
      <c r="J55" s="368"/>
      <c r="K55" s="369"/>
      <c r="L55" s="370"/>
      <c r="M55" s="371"/>
      <c r="N55" s="361"/>
      <c r="O55" s="362"/>
      <c r="P55" s="363"/>
      <c r="Q55" s="365"/>
      <c r="R55" s="366"/>
      <c r="S55" s="367"/>
      <c r="T55" s="367"/>
      <c r="U55" s="367"/>
      <c r="V55" s="893"/>
      <c r="W55" s="647"/>
      <c r="X55" s="648"/>
      <c r="Y55" s="649"/>
      <c r="Z55" s="650"/>
      <c r="AA55" s="651"/>
      <c r="AB55" s="652"/>
      <c r="AC55" s="653"/>
    </row>
    <row r="56" spans="1:29" ht="15">
      <c r="A56" s="14"/>
      <c r="B56" s="38"/>
      <c r="C56" s="38"/>
      <c r="D56" s="4" t="s">
        <v>14</v>
      </c>
      <c r="E56" s="5"/>
      <c r="F56" s="5"/>
      <c r="G56" s="13" t="s">
        <v>35</v>
      </c>
      <c r="H56" s="1308">
        <f t="shared" si="7"/>
        <v>101.27463913563375</v>
      </c>
      <c r="I56" s="1309"/>
      <c r="J56" s="392"/>
      <c r="K56" s="393"/>
      <c r="L56" s="394"/>
      <c r="M56" s="395"/>
      <c r="N56" s="385"/>
      <c r="O56" s="386"/>
      <c r="P56" s="387"/>
      <c r="Q56" s="389"/>
      <c r="R56" s="390"/>
      <c r="S56" s="391"/>
      <c r="T56" s="391"/>
      <c r="U56" s="391"/>
      <c r="V56" s="909"/>
      <c r="W56" s="663"/>
      <c r="X56" s="664"/>
      <c r="Y56" s="665"/>
      <c r="Z56" s="666"/>
      <c r="AA56" s="667"/>
      <c r="AB56" s="668"/>
      <c r="AC56" s="669"/>
    </row>
    <row r="57" spans="1:29" ht="15">
      <c r="A57" s="14"/>
      <c r="B57" s="38"/>
      <c r="C57" s="38"/>
      <c r="D57" s="4" t="s">
        <v>33</v>
      </c>
      <c r="E57" s="5"/>
      <c r="F57" s="5"/>
      <c r="G57" s="13" t="s">
        <v>35</v>
      </c>
      <c r="H57" s="1308">
        <f t="shared" si="7"/>
        <v>178.04582593250444</v>
      </c>
      <c r="I57" s="1309"/>
      <c r="J57" s="404"/>
      <c r="K57" s="405"/>
      <c r="L57" s="406"/>
      <c r="M57" s="407"/>
      <c r="N57" s="397"/>
      <c r="O57" s="398"/>
      <c r="P57" s="399"/>
      <c r="Q57" s="401"/>
      <c r="R57" s="402"/>
      <c r="S57" s="403"/>
      <c r="T57" s="403"/>
      <c r="U57" s="403"/>
      <c r="V57" s="917"/>
      <c r="W57" s="671"/>
      <c r="X57" s="672"/>
      <c r="Y57" s="673"/>
      <c r="Z57" s="674"/>
      <c r="AA57" s="675"/>
      <c r="AB57" s="676"/>
      <c r="AC57" s="677"/>
    </row>
    <row r="58" spans="1:29" ht="15">
      <c r="A58" s="14"/>
      <c r="B58" s="38"/>
      <c r="C58" s="38"/>
      <c r="D58" s="4" t="s">
        <v>34</v>
      </c>
      <c r="E58" s="5"/>
      <c r="F58" s="5"/>
      <c r="G58" s="13" t="s">
        <v>35</v>
      </c>
      <c r="H58" s="1308">
        <f t="shared" si="7"/>
        <v>37.292444876783399</v>
      </c>
      <c r="I58" s="1309"/>
      <c r="J58" s="416"/>
      <c r="K58" s="417"/>
      <c r="L58" s="418"/>
      <c r="M58" s="419"/>
      <c r="N58" s="409"/>
      <c r="O58" s="410"/>
      <c r="P58" s="411"/>
      <c r="Q58" s="413"/>
      <c r="R58" s="414"/>
      <c r="S58" s="415"/>
      <c r="T58" s="415"/>
      <c r="U58" s="415"/>
      <c r="V58" s="925"/>
      <c r="W58" s="679"/>
      <c r="X58" s="680"/>
      <c r="Y58" s="681"/>
      <c r="Z58" s="682"/>
      <c r="AA58" s="683"/>
      <c r="AB58" s="684"/>
      <c r="AC58" s="685"/>
    </row>
    <row r="59" spans="1:29" ht="15">
      <c r="A59" s="14"/>
      <c r="B59" s="38"/>
      <c r="C59" s="38"/>
      <c r="D59" s="4" t="s">
        <v>3</v>
      </c>
      <c r="E59" s="5"/>
      <c r="F59" s="5"/>
      <c r="G59" s="13" t="s">
        <v>35</v>
      </c>
      <c r="H59" s="1327" t="s">
        <v>77</v>
      </c>
      <c r="I59" s="1309"/>
      <c r="J59" s="428"/>
      <c r="K59" s="429"/>
      <c r="L59" s="430"/>
      <c r="M59" s="431"/>
      <c r="N59" s="421"/>
      <c r="O59" s="422"/>
      <c r="P59" s="423"/>
      <c r="Q59" s="425"/>
      <c r="R59" s="426"/>
      <c r="S59" s="427"/>
      <c r="T59" s="427"/>
      <c r="U59" s="427"/>
      <c r="V59" s="933"/>
      <c r="W59" s="687"/>
      <c r="X59" s="688"/>
      <c r="Y59" s="689"/>
      <c r="Z59" s="690"/>
      <c r="AA59" s="691"/>
      <c r="AB59" s="692"/>
      <c r="AC59" s="693"/>
    </row>
    <row r="60" spans="1:29" ht="15">
      <c r="A60" s="14"/>
      <c r="B60" s="38"/>
      <c r="C60" s="38"/>
      <c r="D60" s="4" t="s">
        <v>4</v>
      </c>
      <c r="E60" s="5"/>
      <c r="F60" s="5"/>
      <c r="G60" s="13" t="s">
        <v>35</v>
      </c>
      <c r="H60" s="1327" t="s">
        <v>77</v>
      </c>
      <c r="I60" s="1309"/>
      <c r="J60" s="440"/>
      <c r="K60" s="441"/>
      <c r="L60" s="442"/>
      <c r="M60" s="443"/>
      <c r="N60" s="433"/>
      <c r="O60" s="434"/>
      <c r="P60" s="435"/>
      <c r="Q60" s="437"/>
      <c r="R60" s="438"/>
      <c r="S60" s="439"/>
      <c r="T60" s="439"/>
      <c r="U60" s="439"/>
      <c r="V60" s="941"/>
      <c r="W60" s="695"/>
      <c r="X60" s="696"/>
      <c r="Y60" s="697"/>
      <c r="Z60" s="698"/>
      <c r="AA60" s="699"/>
      <c r="AB60" s="700"/>
      <c r="AC60" s="701"/>
    </row>
    <row r="61" spans="1:29" ht="15">
      <c r="A61" s="14"/>
      <c r="B61" s="38"/>
      <c r="C61" s="38"/>
      <c r="D61" s="4" t="s">
        <v>8</v>
      </c>
      <c r="E61" s="5"/>
      <c r="F61" s="5"/>
      <c r="G61" s="13" t="s">
        <v>35</v>
      </c>
      <c r="H61" s="1308">
        <f>T29/U29*100</f>
        <v>55.181824118962098</v>
      </c>
      <c r="I61" s="1309"/>
      <c r="J61" s="452"/>
      <c r="K61" s="453"/>
      <c r="L61" s="454"/>
      <c r="M61" s="455"/>
      <c r="N61" s="445"/>
      <c r="O61" s="446"/>
      <c r="P61" s="447"/>
      <c r="Q61" s="449"/>
      <c r="R61" s="450"/>
      <c r="S61" s="451"/>
      <c r="T61" s="451"/>
      <c r="U61" s="451"/>
      <c r="V61" s="949"/>
      <c r="W61" s="703"/>
      <c r="X61" s="704"/>
      <c r="Y61" s="705"/>
      <c r="Z61" s="706"/>
      <c r="AA61" s="707"/>
      <c r="AB61" s="708"/>
      <c r="AC61" s="709"/>
    </row>
    <row r="62" spans="1:29" ht="15">
      <c r="A62" s="14"/>
      <c r="B62" s="38"/>
      <c r="C62" s="38"/>
      <c r="D62" s="4" t="s">
        <v>9</v>
      </c>
      <c r="E62" s="5"/>
      <c r="F62" s="5"/>
      <c r="G62" s="13" t="s">
        <v>35</v>
      </c>
      <c r="H62" s="1327" t="s">
        <v>77</v>
      </c>
      <c r="I62" s="1309"/>
      <c r="J62" s="464"/>
      <c r="K62" s="465"/>
      <c r="L62" s="466"/>
      <c r="M62" s="467"/>
      <c r="N62" s="457"/>
      <c r="O62" s="458"/>
      <c r="P62" s="459"/>
      <c r="Q62" s="461"/>
      <c r="R62" s="462"/>
      <c r="S62" s="463"/>
      <c r="T62" s="463"/>
      <c r="U62" s="463"/>
      <c r="V62" s="957"/>
      <c r="W62" s="711"/>
      <c r="X62" s="712"/>
      <c r="Y62" s="713"/>
      <c r="Z62" s="714"/>
      <c r="AA62" s="715"/>
      <c r="AB62" s="716"/>
      <c r="AC62" s="717"/>
    </row>
    <row r="63" spans="1:29" ht="15">
      <c r="A63" s="14"/>
      <c r="B63" s="38"/>
      <c r="C63" s="38"/>
      <c r="D63" s="4" t="s">
        <v>10</v>
      </c>
      <c r="E63" s="5"/>
      <c r="F63" s="5"/>
      <c r="G63" s="13" t="s">
        <v>35</v>
      </c>
      <c r="H63" s="1327" t="s">
        <v>77</v>
      </c>
      <c r="I63" s="1309"/>
      <c r="J63" s="476"/>
      <c r="K63" s="477"/>
      <c r="L63" s="478"/>
      <c r="M63" s="479"/>
      <c r="N63" s="469"/>
      <c r="O63" s="470"/>
      <c r="P63" s="471"/>
      <c r="Q63" s="473"/>
      <c r="R63" s="474"/>
      <c r="S63" s="475"/>
      <c r="T63" s="475"/>
      <c r="U63" s="475"/>
      <c r="V63" s="965"/>
      <c r="W63" s="719"/>
      <c r="X63" s="720"/>
      <c r="Y63" s="721"/>
      <c r="Z63" s="722"/>
      <c r="AA63" s="723"/>
      <c r="AB63" s="724"/>
      <c r="AC63" s="725"/>
    </row>
    <row r="64" spans="1:29" ht="15.75" thickBot="1">
      <c r="A64" s="40"/>
      <c r="B64" s="41"/>
      <c r="C64" s="41"/>
      <c r="D64" s="34" t="s">
        <v>15</v>
      </c>
      <c r="E64" s="43"/>
      <c r="F64" s="43"/>
      <c r="G64" s="44" t="s">
        <v>35</v>
      </c>
      <c r="H64" s="1323">
        <f>T32/U32*100</f>
        <v>95.255890677735323</v>
      </c>
      <c r="I64" s="1324"/>
      <c r="J64" s="488"/>
      <c r="K64" s="489"/>
      <c r="L64" s="490"/>
      <c r="M64" s="491"/>
      <c r="N64" s="481"/>
      <c r="O64" s="482"/>
      <c r="P64" s="483"/>
      <c r="Q64" s="485"/>
      <c r="R64" s="486"/>
      <c r="S64" s="487"/>
      <c r="T64" s="487"/>
      <c r="U64" s="487"/>
      <c r="V64" s="973"/>
      <c r="W64" s="727"/>
      <c r="X64" s="728"/>
      <c r="Y64" s="729"/>
      <c r="Z64" s="730"/>
      <c r="AA64" s="731"/>
      <c r="AB64" s="732"/>
      <c r="AC64" s="733"/>
    </row>
    <row r="65" spans="1:29" ht="15" customHeight="1">
      <c r="A65" s="1294" t="s">
        <v>91</v>
      </c>
      <c r="B65" s="1318"/>
      <c r="C65" s="1318"/>
      <c r="D65" s="1318"/>
      <c r="E65" s="1318"/>
      <c r="F65" s="1318"/>
      <c r="G65" s="1318"/>
      <c r="H65" s="1318"/>
      <c r="I65" s="1318"/>
      <c r="J65" s="1318"/>
      <c r="K65" s="1318"/>
      <c r="L65" s="1318"/>
      <c r="M65" s="1318"/>
      <c r="N65" s="1318"/>
      <c r="O65" s="1318"/>
      <c r="P65" s="1318"/>
      <c r="Q65" s="1318"/>
      <c r="R65" s="1318"/>
      <c r="S65" s="1318"/>
      <c r="T65" s="1318"/>
      <c r="U65" s="1318"/>
      <c r="V65" s="1318"/>
      <c r="W65" s="1318"/>
      <c r="X65" s="1318"/>
      <c r="Y65" s="1318"/>
      <c r="Z65" s="1318"/>
      <c r="AA65" s="1318"/>
      <c r="AB65" s="1318"/>
      <c r="AC65" s="1318"/>
    </row>
    <row r="66" spans="1:29" ht="15" customHeight="1">
      <c r="A66" s="1318"/>
      <c r="B66" s="1318"/>
      <c r="C66" s="1318"/>
      <c r="D66" s="1318"/>
      <c r="E66" s="1318"/>
      <c r="F66" s="1318"/>
      <c r="G66" s="1318"/>
      <c r="H66" s="1318"/>
      <c r="I66" s="1318"/>
      <c r="J66" s="1318"/>
      <c r="K66" s="1318"/>
      <c r="L66" s="1318"/>
      <c r="M66" s="1318"/>
      <c r="N66" s="1318"/>
      <c r="O66" s="1318"/>
      <c r="P66" s="1318"/>
      <c r="Q66" s="1318"/>
      <c r="R66" s="1318"/>
      <c r="S66" s="1318"/>
      <c r="T66" s="1318"/>
      <c r="U66" s="1318"/>
      <c r="V66" s="1318"/>
      <c r="W66" s="1318"/>
      <c r="X66" s="1318"/>
      <c r="Y66" s="1318"/>
      <c r="Z66" s="1318"/>
      <c r="AA66" s="1318"/>
      <c r="AB66" s="1318"/>
      <c r="AC66" s="1318"/>
    </row>
  </sheetData>
  <mergeCells count="35">
    <mergeCell ref="V2:AC2"/>
    <mergeCell ref="H2:T2"/>
    <mergeCell ref="H45:I45"/>
    <mergeCell ref="H37:I37"/>
    <mergeCell ref="H38:I38"/>
    <mergeCell ref="H39:I39"/>
    <mergeCell ref="H34:I34"/>
    <mergeCell ref="H35:I35"/>
    <mergeCell ref="V33:AC33"/>
    <mergeCell ref="H40:I40"/>
    <mergeCell ref="H41:I41"/>
    <mergeCell ref="H42:I42"/>
    <mergeCell ref="H36:I36"/>
    <mergeCell ref="H43:I43"/>
    <mergeCell ref="H44:I44"/>
    <mergeCell ref="H51:I51"/>
    <mergeCell ref="H52:I52"/>
    <mergeCell ref="A65:AC66"/>
    <mergeCell ref="H64:I64"/>
    <mergeCell ref="H62:I62"/>
    <mergeCell ref="H57:I57"/>
    <mergeCell ref="H58:I58"/>
    <mergeCell ref="H59:I59"/>
    <mergeCell ref="H60:I60"/>
    <mergeCell ref="H61:I61"/>
    <mergeCell ref="H54:I54"/>
    <mergeCell ref="H55:I55"/>
    <mergeCell ref="H53:I53"/>
    <mergeCell ref="H63:I63"/>
    <mergeCell ref="H56:I56"/>
    <mergeCell ref="H46:I46"/>
    <mergeCell ref="H47:I47"/>
    <mergeCell ref="H48:I48"/>
    <mergeCell ref="H49:I49"/>
    <mergeCell ref="H50:I50"/>
  </mergeCells>
  <phoneticPr fontId="5"/>
  <pageMargins left="0.70866141732283472" right="0.70866141732283472" top="0.55118110236220474" bottom="0.35433070866141736" header="0.31496062992125984" footer="0.31496062992125984"/>
  <pageSetup paperSize="8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総括表 (R2)</vt:lpstr>
      <vt:lpstr>総括表詳細（利用者数R2)</vt:lpstr>
      <vt:lpstr>総括表詳細（給付費R2)</vt:lpstr>
      <vt:lpstr>総括表 (H31) </vt:lpstr>
      <vt:lpstr>総括表詳細（利用者数H31）</vt:lpstr>
      <vt:lpstr>総括表詳細（給付費H31）</vt:lpstr>
      <vt:lpstr>総括表 (H30)</vt:lpstr>
      <vt:lpstr>総括表詳細（利用者数H30）</vt:lpstr>
      <vt:lpstr>総括表詳細（給付費H30）</vt:lpstr>
      <vt:lpstr>総括表詳細（給付費H29）</vt:lpstr>
      <vt:lpstr>総括表詳細（利用者数）</vt:lpstr>
      <vt:lpstr>総括表詳細（給付費）</vt:lpstr>
      <vt:lpstr>'総括表 (H30)'!Print_Area</vt:lpstr>
      <vt:lpstr>'総括表 (H31) '!Print_Area</vt:lpstr>
      <vt:lpstr>'総括表 (R2)'!Print_Area</vt:lpstr>
      <vt:lpstr>'総括表詳細（給付費）'!Print_Area</vt:lpstr>
      <vt:lpstr>'総括表詳細（給付費H29）'!Print_Area</vt:lpstr>
      <vt:lpstr>'総括表詳細（給付費H30）'!Print_Area</vt:lpstr>
      <vt:lpstr>'総括表詳細（給付費H31）'!Print_Area</vt:lpstr>
      <vt:lpstr>'総括表詳細（給付費R2)'!Print_Area</vt:lpstr>
      <vt:lpstr>'総括表詳細（利用者数）'!Print_Area</vt:lpstr>
      <vt:lpstr>'総括表詳細（利用者数H30）'!Print_Area</vt:lpstr>
      <vt:lpstr>'総括表詳細（利用者数H31）'!Print_Area</vt:lpstr>
      <vt:lpstr>'総括表詳細（利用者数R2)'!Print_Area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2021-09-06T07:06:14Z</dcterms:modified>
</cp:coreProperties>
</file>